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2 - Museum Development\Benchmarking\2017-18\"/>
    </mc:Choice>
  </mc:AlternateContent>
  <xr:revisionPtr revIDLastSave="0" documentId="10_ncr:100000_{3CB283FF-DB72-4EB3-AB2A-D0BF7CF3447A}" xr6:coauthVersionLast="31" xr6:coauthVersionMax="31" xr10:uidLastSave="{00000000-0000-0000-0000-000000000000}"/>
  <bookViews>
    <workbookView xWindow="390" yWindow="600" windowWidth="19815" windowHeight="11955" tabRatio="599" xr2:uid="{00000000-000D-0000-FFFF-FFFF00000000}"/>
  </bookViews>
  <sheets>
    <sheet name="Enhanced" sheetId="1" r:id="rId1"/>
  </sheets>
  <calcPr calcId="179017"/>
</workbook>
</file>

<file path=xl/calcChain.xml><?xml version="1.0" encoding="utf-8"?>
<calcChain xmlns="http://schemas.openxmlformats.org/spreadsheetml/2006/main">
  <c r="P131" i="1" l="1"/>
  <c r="BI131" i="1" s="1"/>
  <c r="BK112" i="1"/>
  <c r="BL136" i="1"/>
  <c r="BM136" i="1"/>
  <c r="BL135" i="1"/>
  <c r="BM135" i="1" s="1"/>
  <c r="BL134" i="1"/>
  <c r="BM134" i="1" s="1"/>
  <c r="BL133" i="1"/>
  <c r="BM133" i="1" s="1"/>
  <c r="BL132" i="1"/>
  <c r="BM132" i="1" s="1"/>
  <c r="BL131" i="1"/>
  <c r="BM131" i="1" s="1"/>
  <c r="BL130" i="1"/>
  <c r="BM130" i="1" s="1"/>
  <c r="BL129" i="1"/>
  <c r="BM129" i="1" s="1"/>
  <c r="BL128" i="1"/>
  <c r="BM128" i="1" s="1"/>
  <c r="BL127" i="1"/>
  <c r="BM127" i="1" s="1"/>
  <c r="BL126" i="1"/>
  <c r="BM126" i="1" s="1"/>
  <c r="BL124" i="1"/>
  <c r="BM124" i="1" s="1"/>
  <c r="BL123" i="1"/>
  <c r="BM123" i="1" s="1"/>
  <c r="BL125" i="1"/>
  <c r="BM125" i="1" s="1"/>
  <c r="BL122" i="1"/>
  <c r="BM122" i="1" s="1"/>
  <c r="BL121" i="1"/>
  <c r="BM121" i="1" s="1"/>
  <c r="BL120" i="1"/>
  <c r="BM120" i="1" s="1"/>
  <c r="BL115" i="1"/>
  <c r="BM115" i="1" s="1"/>
  <c r="BL108" i="1"/>
  <c r="BM108" i="1" s="1"/>
  <c r="BL106" i="1"/>
  <c r="BM106" i="1" s="1"/>
  <c r="BL99" i="1"/>
  <c r="BM99" i="1" s="1"/>
  <c r="BL95" i="1"/>
  <c r="BM95" i="1" s="1"/>
  <c r="BL83" i="1"/>
  <c r="BM83" i="1" s="1"/>
  <c r="BL64" i="1"/>
  <c r="BM64" i="1" s="1"/>
  <c r="BL55" i="1"/>
  <c r="BM55" i="1" s="1"/>
  <c r="BL46" i="1"/>
  <c r="BM46" i="1" s="1"/>
  <c r="BL45" i="1"/>
  <c r="BM45" i="1" s="1"/>
  <c r="BL28" i="1"/>
  <c r="BM28" i="1" s="1"/>
  <c r="BL27" i="1"/>
  <c r="BM27" i="1" s="1"/>
  <c r="BL19" i="1"/>
  <c r="BM19" i="1" s="1"/>
  <c r="BL18" i="1"/>
  <c r="BM18" i="1" s="1"/>
  <c r="BL119" i="1"/>
  <c r="BM119" i="1"/>
  <c r="BL118" i="1"/>
  <c r="BM118" i="1" s="1"/>
  <c r="BL117" i="1"/>
  <c r="BM117" i="1" s="1"/>
  <c r="BL116" i="1"/>
  <c r="BM116" i="1" s="1"/>
  <c r="BL114" i="1"/>
  <c r="BM114" i="1" s="1"/>
  <c r="BL113" i="1"/>
  <c r="BM113" i="1" s="1"/>
  <c r="BL112" i="1"/>
  <c r="BM112" i="1" s="1"/>
  <c r="BL111" i="1"/>
  <c r="BM111" i="1" s="1"/>
  <c r="BL110" i="1"/>
  <c r="BM110" i="1" s="1"/>
  <c r="BL109" i="1"/>
  <c r="BM109" i="1" s="1"/>
  <c r="BL107" i="1"/>
  <c r="BM107" i="1" s="1"/>
  <c r="BL105" i="1"/>
  <c r="BM105" i="1" s="1"/>
  <c r="BL104" i="1"/>
  <c r="BM104" i="1" s="1"/>
  <c r="BL103" i="1"/>
  <c r="BM103" i="1" s="1"/>
  <c r="BL102" i="1"/>
  <c r="BM102" i="1" s="1"/>
  <c r="BL101" i="1"/>
  <c r="BM101" i="1" s="1"/>
  <c r="BL100" i="1"/>
  <c r="BM100" i="1" s="1"/>
  <c r="BL98" i="1"/>
  <c r="BM98" i="1" s="1"/>
  <c r="BL97" i="1"/>
  <c r="BM97" i="1" s="1"/>
  <c r="BL96" i="1"/>
  <c r="BM96" i="1" s="1"/>
  <c r="BL94" i="1"/>
  <c r="BM94" i="1" s="1"/>
  <c r="BL93" i="1"/>
  <c r="BM93" i="1" s="1"/>
  <c r="BL92" i="1"/>
  <c r="BM92" i="1" s="1"/>
  <c r="BL91" i="1"/>
  <c r="BM91" i="1" s="1"/>
  <c r="BL90" i="1"/>
  <c r="BM90" i="1" s="1"/>
  <c r="BL89" i="1"/>
  <c r="BM89" i="1" s="1"/>
  <c r="BL88" i="1"/>
  <c r="BM88" i="1" s="1"/>
  <c r="BL87" i="1"/>
  <c r="BM87" i="1" s="1"/>
  <c r="BL86" i="1"/>
  <c r="BM86" i="1" s="1"/>
  <c r="BL85" i="1"/>
  <c r="BM85" i="1" s="1"/>
  <c r="BL84" i="1"/>
  <c r="BM84" i="1" s="1"/>
  <c r="BL82" i="1"/>
  <c r="BM82" i="1" s="1"/>
  <c r="BL81" i="1"/>
  <c r="BM81" i="1" s="1"/>
  <c r="BL80" i="1"/>
  <c r="BM80" i="1" s="1"/>
  <c r="BL79" i="1"/>
  <c r="BM79" i="1" s="1"/>
  <c r="BL78" i="1"/>
  <c r="BM78" i="1" s="1"/>
  <c r="BL77" i="1"/>
  <c r="BM77" i="1" s="1"/>
  <c r="BL76" i="1"/>
  <c r="BM76" i="1" s="1"/>
  <c r="BL75" i="1"/>
  <c r="BM75" i="1" s="1"/>
  <c r="BL74" i="1"/>
  <c r="BM74" i="1" s="1"/>
  <c r="BL73" i="1"/>
  <c r="BM73" i="1" s="1"/>
  <c r="BL72" i="1"/>
  <c r="BM72" i="1" s="1"/>
  <c r="BL71" i="1"/>
  <c r="BM71" i="1" s="1"/>
  <c r="BL70" i="1"/>
  <c r="BM70" i="1" s="1"/>
  <c r="BL69" i="1"/>
  <c r="BM69" i="1" s="1"/>
  <c r="BL68" i="1"/>
  <c r="BM68" i="1" s="1"/>
  <c r="BL67" i="1"/>
  <c r="BM67" i="1" s="1"/>
  <c r="BL66" i="1"/>
  <c r="BM66" i="1" s="1"/>
  <c r="BL65" i="1"/>
  <c r="BM65" i="1" s="1"/>
  <c r="BL63" i="1"/>
  <c r="BM63" i="1" s="1"/>
  <c r="BL62" i="1"/>
  <c r="BM62" i="1" s="1"/>
  <c r="BL61" i="1"/>
  <c r="BM61" i="1" s="1"/>
  <c r="BL60" i="1"/>
  <c r="BM60" i="1" s="1"/>
  <c r="BL59" i="1"/>
  <c r="BM59" i="1" s="1"/>
  <c r="BL58" i="1"/>
  <c r="BM58" i="1" s="1"/>
  <c r="BL57" i="1"/>
  <c r="BM57" i="1" s="1"/>
  <c r="BL56" i="1"/>
  <c r="BM56" i="1" s="1"/>
  <c r="BL54" i="1"/>
  <c r="BM54" i="1" s="1"/>
  <c r="BL53" i="1"/>
  <c r="BM53" i="1" s="1"/>
  <c r="BL52" i="1"/>
  <c r="BM52" i="1" s="1"/>
  <c r="BL51" i="1"/>
  <c r="BM51" i="1" s="1"/>
  <c r="BL50" i="1"/>
  <c r="BM50" i="1" s="1"/>
  <c r="BL49" i="1"/>
  <c r="BM49" i="1" s="1"/>
  <c r="BL48" i="1"/>
  <c r="BM48" i="1" s="1"/>
  <c r="BL47" i="1"/>
  <c r="BM47" i="1" s="1"/>
  <c r="BL44" i="1"/>
  <c r="BM44" i="1" s="1"/>
  <c r="BL43" i="1"/>
  <c r="BM43" i="1" s="1"/>
  <c r="BL42" i="1"/>
  <c r="BM42" i="1" s="1"/>
  <c r="BL41" i="1"/>
  <c r="BM41" i="1" s="1"/>
  <c r="BL40" i="1"/>
  <c r="BM40" i="1" s="1"/>
  <c r="BL39" i="1"/>
  <c r="BM39" i="1" s="1"/>
  <c r="BL38" i="1"/>
  <c r="BM38" i="1" s="1"/>
  <c r="BL37" i="1"/>
  <c r="BM37" i="1" s="1"/>
  <c r="BL36" i="1"/>
  <c r="BM36" i="1" s="1"/>
  <c r="BL35" i="1"/>
  <c r="BM35" i="1" s="1"/>
  <c r="BL34" i="1"/>
  <c r="BM34" i="1" s="1"/>
  <c r="BL33" i="1"/>
  <c r="BM33" i="1" s="1"/>
  <c r="BL32" i="1"/>
  <c r="BM32" i="1" s="1"/>
  <c r="BL31" i="1"/>
  <c r="BM31" i="1" s="1"/>
  <c r="BL30" i="1"/>
  <c r="BM30" i="1" s="1"/>
  <c r="BL29" i="1"/>
  <c r="BM29" i="1" s="1"/>
  <c r="BL26" i="1"/>
  <c r="BM26" i="1" s="1"/>
  <c r="BL25" i="1"/>
  <c r="BM25" i="1" s="1"/>
  <c r="BL24" i="1"/>
  <c r="BM24" i="1" s="1"/>
  <c r="BL23" i="1"/>
  <c r="BM23" i="1" s="1"/>
  <c r="BL22" i="1"/>
  <c r="BM22" i="1"/>
  <c r="BL21" i="1"/>
  <c r="BM21" i="1" s="1"/>
  <c r="BL20" i="1"/>
  <c r="BM20" i="1" s="1"/>
  <c r="BL17" i="1"/>
  <c r="BM17" i="1" s="1"/>
  <c r="BL16" i="1"/>
  <c r="BM16" i="1" s="1"/>
  <c r="BL15" i="1"/>
  <c r="BM15" i="1" s="1"/>
  <c r="BL14" i="1"/>
  <c r="BM14" i="1" s="1"/>
  <c r="BL13" i="1"/>
  <c r="BM13" i="1" s="1"/>
  <c r="BL12" i="1"/>
  <c r="BM12" i="1"/>
  <c r="BL11" i="1"/>
  <c r="BM11" i="1" s="1"/>
  <c r="BL10" i="1"/>
  <c r="BM10" i="1" s="1"/>
  <c r="BL9" i="1"/>
  <c r="BM9" i="1" s="1"/>
  <c r="BL8" i="1"/>
  <c r="BM8" i="1" s="1"/>
  <c r="BL7" i="1"/>
  <c r="BM7" i="1" s="1"/>
  <c r="BL6" i="1"/>
  <c r="BM6" i="1" s="1"/>
  <c r="BL5" i="1"/>
  <c r="BM5" i="1" s="1"/>
  <c r="BL4" i="1"/>
  <c r="BM4" i="1" s="1"/>
  <c r="BL3" i="1"/>
  <c r="BM3" i="1" s="1"/>
  <c r="BD92" i="1"/>
  <c r="BD94" i="1"/>
  <c r="BD96" i="1"/>
  <c r="BD97" i="1"/>
  <c r="BD98" i="1"/>
  <c r="BD100" i="1"/>
  <c r="BD101" i="1"/>
  <c r="BD102" i="1"/>
  <c r="BD103" i="1"/>
  <c r="BD104" i="1"/>
  <c r="BD105" i="1"/>
  <c r="BD107" i="1"/>
  <c r="BD109" i="1"/>
  <c r="BD110" i="1"/>
  <c r="BD111" i="1"/>
  <c r="BD113" i="1"/>
  <c r="BD114" i="1"/>
  <c r="BD116" i="1"/>
  <c r="BD117" i="1"/>
  <c r="BD118" i="1"/>
  <c r="BD119" i="1"/>
  <c r="BD19" i="1"/>
  <c r="BD27" i="1"/>
  <c r="BD28" i="1"/>
  <c r="BD45" i="1"/>
  <c r="BD46" i="1"/>
  <c r="BD55" i="1"/>
  <c r="BD64" i="1"/>
  <c r="BD83" i="1"/>
  <c r="BD95" i="1"/>
  <c r="BD99" i="1"/>
  <c r="BD106" i="1"/>
  <c r="BD108" i="1"/>
  <c r="BD115" i="1"/>
  <c r="BD120" i="1"/>
  <c r="BD121" i="1"/>
  <c r="BD122" i="1"/>
  <c r="BD125" i="1"/>
  <c r="BD123" i="1"/>
  <c r="BD124" i="1"/>
  <c r="BD126" i="1"/>
  <c r="BD127" i="1"/>
  <c r="BD128" i="1"/>
  <c r="BD129" i="1"/>
  <c r="BD130" i="1"/>
  <c r="BD131" i="1"/>
  <c r="BD132" i="1"/>
  <c r="BD133" i="1"/>
  <c r="BD134" i="1"/>
  <c r="BD135" i="1"/>
  <c r="BD136" i="1"/>
  <c r="BD60" i="1"/>
  <c r="BD61" i="1"/>
  <c r="BD62" i="1"/>
  <c r="BD63" i="1"/>
  <c r="BD65" i="1"/>
  <c r="BD66" i="1"/>
  <c r="BD67" i="1"/>
  <c r="BD68" i="1"/>
  <c r="BD69" i="1"/>
  <c r="BD70" i="1"/>
  <c r="BD72" i="1"/>
  <c r="BD73" i="1"/>
  <c r="BD75" i="1"/>
  <c r="BD76" i="1"/>
  <c r="BD78" i="1"/>
  <c r="BD79" i="1"/>
  <c r="BD80" i="1"/>
  <c r="BD81" i="1"/>
  <c r="BD84" i="1"/>
  <c r="BD85" i="1"/>
  <c r="BD86" i="1"/>
  <c r="BD87" i="1"/>
  <c r="BD88" i="1"/>
  <c r="BD89" i="1"/>
  <c r="BD90" i="1"/>
  <c r="BD91" i="1"/>
  <c r="BD54" i="1"/>
  <c r="BD56" i="1"/>
  <c r="BD23" i="1"/>
  <c r="BD24" i="1"/>
  <c r="BD25" i="1"/>
  <c r="BD26" i="1"/>
  <c r="BD29" i="1"/>
  <c r="BD30" i="1"/>
  <c r="BD31" i="1"/>
  <c r="BD32" i="1"/>
  <c r="BD33" i="1"/>
  <c r="BD34" i="1"/>
  <c r="BD35" i="1"/>
  <c r="BD36" i="1"/>
  <c r="BD37" i="1"/>
  <c r="BD38" i="1"/>
  <c r="BD40" i="1"/>
  <c r="BD42" i="1"/>
  <c r="BD43" i="1"/>
  <c r="BD44" i="1"/>
  <c r="BD47" i="1"/>
  <c r="BD48" i="1"/>
  <c r="BD49" i="1"/>
  <c r="BD51" i="1"/>
  <c r="BD52" i="1"/>
  <c r="BD53" i="1"/>
  <c r="BD4" i="1"/>
  <c r="BD3" i="1"/>
  <c r="BD59" i="1"/>
  <c r="BD58" i="1"/>
  <c r="BD57" i="1"/>
  <c r="BD22" i="1"/>
  <c r="BD20" i="1"/>
  <c r="BD17" i="1"/>
  <c r="BD16" i="1"/>
  <c r="BD15" i="1"/>
  <c r="BD14" i="1"/>
  <c r="BD13" i="1"/>
  <c r="BD12" i="1"/>
  <c r="BD11" i="1"/>
  <c r="BD10" i="1"/>
  <c r="BD9" i="1"/>
  <c r="BD8" i="1"/>
  <c r="BD7" i="1"/>
  <c r="BD6" i="1"/>
  <c r="P126" i="1"/>
  <c r="BI126" i="1" s="1"/>
  <c r="P83" i="1"/>
  <c r="BI83" i="1" s="1"/>
  <c r="P45" i="1"/>
  <c r="P117" i="1"/>
  <c r="BI117" i="1" s="1"/>
  <c r="P107" i="1"/>
  <c r="BI107" i="1" s="1"/>
  <c r="P102" i="1"/>
  <c r="BI102" i="1" s="1"/>
  <c r="P88" i="1"/>
  <c r="BI88" i="1" s="1"/>
  <c r="P4" i="1"/>
  <c r="BI4" i="1" s="1"/>
  <c r="P127" i="1"/>
  <c r="BH127" i="1" s="1"/>
  <c r="P124" i="1"/>
  <c r="BH124" i="1" s="1"/>
  <c r="P95" i="1"/>
  <c r="P101" i="1"/>
  <c r="BH101" i="1" s="1"/>
  <c r="P94" i="1"/>
  <c r="BI94" i="1" s="1"/>
  <c r="P56" i="1"/>
  <c r="BI56" i="1" s="1"/>
  <c r="P49" i="1"/>
  <c r="BI49" i="1" s="1"/>
  <c r="P24" i="1"/>
  <c r="BI24" i="1" s="1"/>
  <c r="P21" i="1"/>
  <c r="BI21" i="1" s="1"/>
  <c r="P12" i="1"/>
  <c r="BI12" i="1" s="1"/>
  <c r="P134" i="1"/>
  <c r="P132" i="1"/>
  <c r="BH132" i="1" s="1"/>
  <c r="P129" i="1"/>
  <c r="BH129" i="1" s="1"/>
  <c r="P125" i="1"/>
  <c r="BI125" i="1" s="1"/>
  <c r="P121" i="1"/>
  <c r="BI121" i="1" s="1"/>
  <c r="P115" i="1"/>
  <c r="BH115" i="1" s="1"/>
  <c r="P108" i="1"/>
  <c r="BH108" i="1" s="1"/>
  <c r="P64" i="1"/>
  <c r="BI64" i="1" s="1"/>
  <c r="P55" i="1"/>
  <c r="P46" i="1"/>
  <c r="BI46" i="1" s="1"/>
  <c r="P19" i="1"/>
  <c r="BI19" i="1" s="1"/>
  <c r="P118" i="1"/>
  <c r="BH118" i="1" s="1"/>
  <c r="P116" i="1"/>
  <c r="P110" i="1"/>
  <c r="BH110" i="1" s="1"/>
  <c r="P104" i="1"/>
  <c r="BH104" i="1" s="1"/>
  <c r="P97" i="1"/>
  <c r="BI97" i="1" s="1"/>
  <c r="P93" i="1"/>
  <c r="BI93" i="1" s="1"/>
  <c r="P91" i="1"/>
  <c r="BH91" i="1" s="1"/>
  <c r="P90" i="1"/>
  <c r="BH90" i="1" s="1"/>
  <c r="P89" i="1"/>
  <c r="BI89" i="1" s="1"/>
  <c r="P86" i="1"/>
  <c r="BI86" i="1" s="1"/>
  <c r="P85" i="1"/>
  <c r="BH85" i="1" s="1"/>
  <c r="P84" i="1"/>
  <c r="BH84" i="1" s="1"/>
  <c r="P81" i="1"/>
  <c r="BI81" i="1" s="1"/>
  <c r="P80" i="1"/>
  <c r="P79" i="1"/>
  <c r="BI79" i="1" s="1"/>
  <c r="P76" i="1"/>
  <c r="BI76" i="1" s="1"/>
  <c r="P75" i="1"/>
  <c r="BH75" i="1" s="1"/>
  <c r="P72" i="1"/>
  <c r="P68" i="1"/>
  <c r="BH68" i="1" s="1"/>
  <c r="P62" i="1"/>
  <c r="BH62" i="1" s="1"/>
  <c r="P61" i="1"/>
  <c r="BI61" i="1" s="1"/>
  <c r="P59" i="1"/>
  <c r="P58" i="1"/>
  <c r="BI58" i="1" s="1"/>
  <c r="P57" i="1"/>
  <c r="BI57" i="1" s="1"/>
  <c r="P54" i="1"/>
  <c r="BI54" i="1" s="1"/>
  <c r="P53" i="1"/>
  <c r="BI53" i="1" s="1"/>
  <c r="P47" i="1"/>
  <c r="BH47" i="1" s="1"/>
  <c r="P43" i="1"/>
  <c r="BH43" i="1" s="1"/>
  <c r="P38" i="1"/>
  <c r="BH38" i="1" s="1"/>
  <c r="P37" i="1"/>
  <c r="BI37" i="1" s="1"/>
  <c r="P35" i="1"/>
  <c r="BI35" i="1" s="1"/>
  <c r="P33" i="1"/>
  <c r="BI33" i="1" s="1"/>
  <c r="P32" i="1"/>
  <c r="BH32" i="1" s="1"/>
  <c r="P29" i="1"/>
  <c r="P26" i="1"/>
  <c r="BH26" i="1" s="1"/>
  <c r="P22" i="1"/>
  <c r="BH22" i="1" s="1"/>
  <c r="P14" i="1"/>
  <c r="BI14" i="1" s="1"/>
  <c r="P9" i="1"/>
  <c r="BH9" i="1" s="1"/>
  <c r="P3" i="1"/>
  <c r="BH3" i="1" s="1"/>
  <c r="P5" i="1"/>
  <c r="BI5" i="1" s="1"/>
  <c r="P6" i="1"/>
  <c r="BI6" i="1" s="1"/>
  <c r="P7" i="1"/>
  <c r="BI7" i="1" s="1"/>
  <c r="P8" i="1"/>
  <c r="BH8" i="1" s="1"/>
  <c r="P10" i="1"/>
  <c r="BH10" i="1" s="1"/>
  <c r="P11" i="1"/>
  <c r="BI11" i="1" s="1"/>
  <c r="P13" i="1"/>
  <c r="P15" i="1"/>
  <c r="BH15" i="1" s="1"/>
  <c r="P16" i="1"/>
  <c r="BI16" i="1" s="1"/>
  <c r="P17" i="1"/>
  <c r="BH17" i="1" s="1"/>
  <c r="P20" i="1"/>
  <c r="P23" i="1"/>
  <c r="BI23" i="1" s="1"/>
  <c r="P25" i="1"/>
  <c r="BH25" i="1" s="1"/>
  <c r="P30" i="1"/>
  <c r="BI30" i="1" s="1"/>
  <c r="P31" i="1"/>
  <c r="P34" i="1"/>
  <c r="BI34" i="1" s="1"/>
  <c r="P36" i="1"/>
  <c r="BI36" i="1" s="1"/>
  <c r="P39" i="1"/>
  <c r="BH39" i="1" s="1"/>
  <c r="P40" i="1"/>
  <c r="BI40" i="1" s="1"/>
  <c r="P41" i="1"/>
  <c r="BH41" i="1" s="1"/>
  <c r="P42" i="1"/>
  <c r="BH42" i="1" s="1"/>
  <c r="P44" i="1"/>
  <c r="BI44" i="1" s="1"/>
  <c r="P48" i="1"/>
  <c r="BI48" i="1" s="1"/>
  <c r="P50" i="1"/>
  <c r="BI50" i="1" s="1"/>
  <c r="P51" i="1"/>
  <c r="BH51" i="1" s="1"/>
  <c r="P52" i="1"/>
  <c r="BH52" i="1" s="1"/>
  <c r="P60" i="1"/>
  <c r="P63" i="1"/>
  <c r="BH63" i="1" s="1"/>
  <c r="P65" i="1"/>
  <c r="BH65" i="1" s="1"/>
  <c r="P66" i="1"/>
  <c r="BI66" i="1" s="1"/>
  <c r="P67" i="1"/>
  <c r="BI67" i="1" s="1"/>
  <c r="P69" i="1"/>
  <c r="BH69" i="1" s="1"/>
  <c r="P70" i="1"/>
  <c r="BH70" i="1" s="1"/>
  <c r="P71" i="1"/>
  <c r="BI71" i="1" s="1"/>
  <c r="P73" i="1"/>
  <c r="P74" i="1"/>
  <c r="BH74" i="1" s="1"/>
  <c r="P77" i="1"/>
  <c r="BI77" i="1" s="1"/>
  <c r="P78" i="1"/>
  <c r="BI78" i="1" s="1"/>
  <c r="P82" i="1"/>
  <c r="BI82" i="1" s="1"/>
  <c r="P87" i="1"/>
  <c r="BI87" i="1" s="1"/>
  <c r="P92" i="1"/>
  <c r="BH92" i="1" s="1"/>
  <c r="P96" i="1"/>
  <c r="BH96" i="1" s="1"/>
  <c r="P98" i="1"/>
  <c r="P100" i="1"/>
  <c r="BH100" i="1" s="1"/>
  <c r="P103" i="1"/>
  <c r="BI103" i="1" s="1"/>
  <c r="P105" i="1"/>
  <c r="BI105" i="1" s="1"/>
  <c r="P109" i="1"/>
  <c r="BI109" i="1" s="1"/>
  <c r="P111" i="1"/>
  <c r="BI111" i="1" s="1"/>
  <c r="P112" i="1"/>
  <c r="P113" i="1"/>
  <c r="BI113" i="1" s="1"/>
  <c r="P114" i="1"/>
  <c r="P119" i="1"/>
  <c r="BH119" i="1" s="1"/>
  <c r="P18" i="1"/>
  <c r="BI18" i="1" s="1"/>
  <c r="P27" i="1"/>
  <c r="BI27" i="1" s="1"/>
  <c r="P28" i="1"/>
  <c r="P99" i="1"/>
  <c r="BI99" i="1" s="1"/>
  <c r="P106" i="1"/>
  <c r="BH106" i="1" s="1"/>
  <c r="P120" i="1"/>
  <c r="BH120" i="1" s="1"/>
  <c r="P122" i="1"/>
  <c r="BI122" i="1" s="1"/>
  <c r="P123" i="1"/>
  <c r="BH123" i="1" s="1"/>
  <c r="P128" i="1"/>
  <c r="BH128" i="1" s="1"/>
  <c r="P130" i="1"/>
  <c r="BI130" i="1" s="1"/>
  <c r="P133" i="1"/>
  <c r="BI133" i="1" s="1"/>
  <c r="P135" i="1"/>
  <c r="BH135" i="1" s="1"/>
  <c r="P136" i="1"/>
  <c r="BI136" i="1" s="1"/>
  <c r="BI3" i="1" l="1"/>
  <c r="BI129" i="1"/>
  <c r="BK129" i="1" s="1"/>
  <c r="BH21" i="1"/>
  <c r="BH121" i="1"/>
  <c r="BK121" i="1" s="1"/>
  <c r="BH93" i="1"/>
  <c r="BK93" i="1" s="1"/>
  <c r="BH57" i="1"/>
  <c r="BI128" i="1"/>
  <c r="BK128" i="1" s="1"/>
  <c r="BH36" i="1"/>
  <c r="BK36" i="1" s="1"/>
  <c r="BH131" i="1"/>
  <c r="BK131" i="1" s="1"/>
  <c r="BH109" i="1"/>
  <c r="BK109" i="1" s="1"/>
  <c r="BH67" i="1"/>
  <c r="BK67" i="1" s="1"/>
  <c r="BH53" i="1"/>
  <c r="BK53" i="1" s="1"/>
  <c r="BH82" i="1"/>
  <c r="BK82" i="1" s="1"/>
  <c r="BI75" i="1"/>
  <c r="BK75" i="1" s="1"/>
  <c r="BH126" i="1"/>
  <c r="BK126" i="1" s="1"/>
  <c r="BH19" i="1"/>
  <c r="BK19" i="1" s="1"/>
  <c r="BI90" i="1"/>
  <c r="BK90" i="1" s="1"/>
  <c r="BI22" i="1"/>
  <c r="BK22" i="1" s="1"/>
  <c r="BH94" i="1"/>
  <c r="BK94" i="1" s="1"/>
  <c r="BI92" i="1"/>
  <c r="BK92" i="1" s="1"/>
  <c r="BI84" i="1"/>
  <c r="BK84" i="1" s="1"/>
  <c r="BH5" i="1"/>
  <c r="BH122" i="1"/>
  <c r="BK122" i="1" s="1"/>
  <c r="BH133" i="1"/>
  <c r="BK133" i="1" s="1"/>
  <c r="BI100" i="1"/>
  <c r="BK100" i="1" s="1"/>
  <c r="BH46" i="1"/>
  <c r="BK46" i="1" s="1"/>
  <c r="BI91" i="1"/>
  <c r="BK91" i="1" s="1"/>
  <c r="BH23" i="1"/>
  <c r="BK23" i="1" s="1"/>
  <c r="BH99" i="1"/>
  <c r="BK99" i="1" s="1"/>
  <c r="BH4" i="1"/>
  <c r="BK4" i="1" s="1"/>
  <c r="BI68" i="1"/>
  <c r="BK68" i="1" s="1"/>
  <c r="BH50" i="1"/>
  <c r="BK50" i="1" s="1"/>
  <c r="BI135" i="1"/>
  <c r="BK135" i="1" s="1"/>
  <c r="BH35" i="1"/>
  <c r="BK35" i="1" s="1"/>
  <c r="BI69" i="1"/>
  <c r="BK69" i="1" s="1"/>
  <c r="BI101" i="1"/>
  <c r="BK101" i="1" s="1"/>
  <c r="BI96" i="1"/>
  <c r="BK96" i="1" s="1"/>
  <c r="BH77" i="1"/>
  <c r="BK77" i="1" s="1"/>
  <c r="BI124" i="1"/>
  <c r="BK124" i="1" s="1"/>
  <c r="BH76" i="1"/>
  <c r="BK76" i="1" s="1"/>
  <c r="BH33" i="1"/>
  <c r="BI10" i="1"/>
  <c r="BK10" i="1" s="1"/>
  <c r="BI51" i="1"/>
  <c r="BK51" i="1" s="1"/>
  <c r="BH107" i="1"/>
  <c r="BK107" i="1" s="1"/>
  <c r="BI127" i="1"/>
  <c r="BK127" i="1" s="1"/>
  <c r="BI104" i="1"/>
  <c r="BK104" i="1" s="1"/>
  <c r="BI62" i="1"/>
  <c r="BK62" i="1" s="1"/>
  <c r="BH16" i="1"/>
  <c r="BK16" i="1" s="1"/>
  <c r="BI70" i="1"/>
  <c r="BK70" i="1" s="1"/>
  <c r="BH136" i="1"/>
  <c r="BK136" i="1" s="1"/>
  <c r="BI85" i="1"/>
  <c r="BK85" i="1" s="1"/>
  <c r="BH58" i="1"/>
  <c r="BK58" i="1" s="1"/>
  <c r="BI8" i="1"/>
  <c r="BK8" i="1" s="1"/>
  <c r="BH34" i="1"/>
  <c r="BK34" i="1" s="1"/>
  <c r="BI74" i="1"/>
  <c r="BK74" i="1" s="1"/>
  <c r="BH111" i="1"/>
  <c r="BK111" i="1" s="1"/>
  <c r="BI65" i="1"/>
  <c r="BK65" i="1" s="1"/>
  <c r="BH18" i="1"/>
  <c r="BK18" i="1" s="1"/>
  <c r="BI108" i="1"/>
  <c r="BK108" i="1" s="1"/>
  <c r="BI43" i="1"/>
  <c r="BK43" i="1" s="1"/>
  <c r="BI42" i="1"/>
  <c r="BK42" i="1" s="1"/>
  <c r="BH103" i="1"/>
  <c r="BK103" i="1" s="1"/>
  <c r="BH117" i="1"/>
  <c r="BK117" i="1" s="1"/>
  <c r="BI110" i="1"/>
  <c r="BK110" i="1" s="1"/>
  <c r="BH79" i="1"/>
  <c r="BK79" i="1" s="1"/>
  <c r="BI26" i="1"/>
  <c r="BK26" i="1" s="1"/>
  <c r="BI15" i="1"/>
  <c r="BK15" i="1" s="1"/>
  <c r="BI63" i="1"/>
  <c r="BK63" i="1" s="1"/>
  <c r="BH87" i="1"/>
  <c r="BK87" i="1" s="1"/>
  <c r="BI123" i="1"/>
  <c r="BK123" i="1" s="1"/>
  <c r="BI132" i="1"/>
  <c r="BK132" i="1" s="1"/>
  <c r="BK33" i="1"/>
  <c r="BI25" i="1"/>
  <c r="BK25" i="1" s="1"/>
  <c r="BI106" i="1"/>
  <c r="BK106" i="1" s="1"/>
  <c r="BH24" i="1"/>
  <c r="BK24" i="1" s="1"/>
  <c r="BK21" i="1"/>
  <c r="BI115" i="1"/>
  <c r="BK115" i="1" s="1"/>
  <c r="BI47" i="1"/>
  <c r="BK47" i="1" s="1"/>
  <c r="BI41" i="1"/>
  <c r="BK41" i="1" s="1"/>
  <c r="BI119" i="1"/>
  <c r="BK119" i="1" s="1"/>
  <c r="BI32" i="1"/>
  <c r="BK32" i="1" s="1"/>
  <c r="BI120" i="1"/>
  <c r="BK120" i="1" s="1"/>
  <c r="BK3" i="1"/>
  <c r="BK57" i="1"/>
  <c r="BI17" i="1"/>
  <c r="BK17" i="1" s="1"/>
  <c r="BK5" i="1"/>
  <c r="BI118" i="1"/>
  <c r="BK118" i="1" s="1"/>
  <c r="BI52" i="1"/>
  <c r="BK52" i="1" s="1"/>
  <c r="BH83" i="1"/>
  <c r="BK83" i="1" s="1"/>
  <c r="BH12" i="1"/>
  <c r="BK12" i="1" s="1"/>
  <c r="BH125" i="1"/>
  <c r="BK125" i="1" s="1"/>
  <c r="BH89" i="1"/>
  <c r="BK89" i="1" s="1"/>
  <c r="BH54" i="1"/>
  <c r="BK54" i="1" s="1"/>
  <c r="BH6" i="1"/>
  <c r="BK6" i="1" s="1"/>
  <c r="BI39" i="1"/>
  <c r="BK39" i="1" s="1"/>
  <c r="BH71" i="1"/>
  <c r="BK71" i="1" s="1"/>
  <c r="BH113" i="1"/>
  <c r="BK113" i="1" s="1"/>
  <c r="BH86" i="1"/>
  <c r="BK86" i="1" s="1"/>
  <c r="BH7" i="1"/>
  <c r="BK7" i="1" s="1"/>
  <c r="BH88" i="1"/>
  <c r="BK88" i="1" s="1"/>
  <c r="BH37" i="1"/>
  <c r="BK37" i="1" s="1"/>
  <c r="BH48" i="1"/>
  <c r="BK48" i="1" s="1"/>
  <c r="BI9" i="1"/>
  <c r="BK9" i="1" s="1"/>
  <c r="BH49" i="1"/>
  <c r="BK49" i="1" s="1"/>
  <c r="BH40" i="1"/>
  <c r="BK40" i="1" s="1"/>
  <c r="BI28" i="1"/>
  <c r="BH28" i="1"/>
  <c r="BI114" i="1"/>
  <c r="BH114" i="1"/>
  <c r="BI98" i="1"/>
  <c r="BH98" i="1"/>
  <c r="BI73" i="1"/>
  <c r="BH73" i="1"/>
  <c r="BI60" i="1"/>
  <c r="BH60" i="1"/>
  <c r="BH31" i="1"/>
  <c r="BI31" i="1"/>
  <c r="BI20" i="1"/>
  <c r="BH20" i="1"/>
  <c r="BI13" i="1"/>
  <c r="BH13" i="1"/>
  <c r="BH29" i="1"/>
  <c r="BI29" i="1"/>
  <c r="BI59" i="1"/>
  <c r="BH59" i="1"/>
  <c r="BI72" i="1"/>
  <c r="BH72" i="1"/>
  <c r="BI80" i="1"/>
  <c r="BH80" i="1"/>
  <c r="BI116" i="1"/>
  <c r="BH116" i="1"/>
  <c r="BI55" i="1"/>
  <c r="BH55" i="1"/>
  <c r="BI134" i="1"/>
  <c r="BH134" i="1"/>
  <c r="BI95" i="1"/>
  <c r="BH95" i="1"/>
  <c r="BI45" i="1"/>
  <c r="BH45" i="1"/>
  <c r="BH102" i="1"/>
  <c r="BK102" i="1" s="1"/>
  <c r="BH56" i="1"/>
  <c r="BK56" i="1" s="1"/>
  <c r="BH64" i="1"/>
  <c r="BK64" i="1" s="1"/>
  <c r="BH97" i="1"/>
  <c r="BK97" i="1" s="1"/>
  <c r="BH81" i="1"/>
  <c r="BK81" i="1" s="1"/>
  <c r="BH61" i="1"/>
  <c r="BK61" i="1" s="1"/>
  <c r="BI38" i="1"/>
  <c r="BK38" i="1" s="1"/>
  <c r="BH14" i="1"/>
  <c r="BK14" i="1" s="1"/>
  <c r="BH11" i="1"/>
  <c r="BK11" i="1" s="1"/>
  <c r="BH30" i="1"/>
  <c r="BK30" i="1" s="1"/>
  <c r="BH44" i="1"/>
  <c r="BK44" i="1" s="1"/>
  <c r="BH66" i="1"/>
  <c r="BK66" i="1" s="1"/>
  <c r="BH78" i="1"/>
  <c r="BK78" i="1" s="1"/>
  <c r="BH105" i="1"/>
  <c r="BK105" i="1" s="1"/>
  <c r="BH27" i="1"/>
  <c r="BK27" i="1" s="1"/>
  <c r="BH130" i="1"/>
  <c r="BK130" i="1" s="1"/>
  <c r="BK95" i="1" l="1"/>
  <c r="BK55" i="1"/>
  <c r="BK80" i="1"/>
  <c r="BK59" i="1"/>
  <c r="BK13" i="1"/>
  <c r="BK73" i="1"/>
  <c r="BK114" i="1"/>
  <c r="BK45" i="1"/>
  <c r="BK134" i="1"/>
  <c r="BK116" i="1"/>
  <c r="BK72" i="1"/>
  <c r="BK20" i="1"/>
  <c r="BK60" i="1"/>
  <c r="BK98" i="1"/>
  <c r="BK28" i="1"/>
  <c r="BK29" i="1"/>
  <c r="BK31" i="1"/>
</calcChain>
</file>

<file path=xl/sharedStrings.xml><?xml version="1.0" encoding="utf-8"?>
<sst xmlns="http://schemas.openxmlformats.org/spreadsheetml/2006/main" count="5211" uniqueCount="477">
  <si>
    <t>Q3.1. Open all year</t>
  </si>
  <si>
    <t>Q3.2. Closed for part of the year - regular seasonal closure</t>
  </si>
  <si>
    <t>Q3.4. Open by appointment only - part of the year</t>
  </si>
  <si>
    <t>Q3.5. Open by appointment only - all year</t>
  </si>
  <si>
    <t>Q3.6. Closed all of the year - e.g. redevelopment</t>
  </si>
  <si>
    <t>Q6. Is this is an actual or an estimate?</t>
  </si>
  <si>
    <t>Q8. Is this is an actual or an estimate?</t>
  </si>
  <si>
    <t>Q10. Is this is an actual or an estimate?</t>
  </si>
  <si>
    <t>Q11. Is there a reason for any significant change from the previous year (e.g. closed for redevelopment, major exhibition)?</t>
  </si>
  <si>
    <t>Q14. Does your museum use social media to engage with audiences?</t>
  </si>
  <si>
    <t>Q15. If yes, how many subscribers does the museum have to its social media platforms (inc Twitter, Facebook, Instagram, YouTube etc.)</t>
  </si>
  <si>
    <t>Q16.2. Total number of participants</t>
  </si>
  <si>
    <t>Q17. Is this is an actual or an estimate?</t>
  </si>
  <si>
    <t>Q18.2. Total number of participants</t>
  </si>
  <si>
    <t>Q19. What was the total number of different schools and formal learning organisations engaged?</t>
  </si>
  <si>
    <t>Q21.2. Total number of participants</t>
  </si>
  <si>
    <t>Q22. Is this is an actual or an estimate?</t>
  </si>
  <si>
    <t>Q23.2. Total number of participants</t>
  </si>
  <si>
    <t>Q24. Is this is an actual or an estimate?</t>
  </si>
  <si>
    <t>Q26. Does your museum charge for admission?</t>
  </si>
  <si>
    <t>Q29. Does your museum have a shop/retail outlet?</t>
  </si>
  <si>
    <t>Q43. In the last twelve months, has your museum raised funds via online giving / crowdfunding? (e.g. Just Giving, Local Giving, Virgin Money Giving, Kickstarter, Indiegogo, Art Happens)</t>
  </si>
  <si>
    <t>Q47. Is this figure an actual or an estimate?</t>
  </si>
  <si>
    <t>Q49. Is this is an actual or an estimate?</t>
  </si>
  <si>
    <t>Q52. Does your museum have an Equality and Diversity Action Plan?</t>
  </si>
  <si>
    <t>Q53. If you have received support or advice from the SHARE Museums East programme this year, then please say a few words about how you found this experience and what you plan to do next.</t>
  </si>
  <si>
    <t>Q54. If your museum would like to draw attention to any positive work or news that it has been involved with in the last twelve months, then please use the box below to tell us what this is.</t>
  </si>
  <si>
    <t>Independent</t>
  </si>
  <si>
    <t>No</t>
  </si>
  <si>
    <t>Yes</t>
  </si>
  <si>
    <t>Actual</t>
  </si>
  <si>
    <t>Estimate</t>
  </si>
  <si>
    <t>-</t>
  </si>
  <si>
    <t>0</t>
  </si>
  <si>
    <t>SHARE has been incredibly useful as I take on all the roles at a small museum, as I have needed to learn a lot very quickly! Networks are also extremely useful for those of us working in small museums.</t>
  </si>
  <si>
    <t>Sedgwick Museum of Earth Sciences</t>
  </si>
  <si>
    <t>University</t>
  </si>
  <si>
    <t>no</t>
  </si>
  <si>
    <t>Museum of Classical Archaeology</t>
  </si>
  <si>
    <t>We were closed for two weeks to refit the carpet. Our loan boxes are still out of circulation, but this only affects outreach figures not actual visits.</t>
  </si>
  <si>
    <t>I have been on maternity leave this year, so have not used SHARE much - but I always find their support and training absolutely amazing!</t>
  </si>
  <si>
    <t>Our summer exhibition last year was Imagining India, part of the UCM's India Unboxed season, which brought in more diverse audiences. We also produced a very successful trail called Queer Antiquities for LGBTQ History Month, which is about to be reprinted. We continue to work towards improving our collections care. (Please note: we do have our own Equality and Diversity Plan, but we do follow those of the University and the UCM, and our Faculty has just submitted an application to Athena Swan.)</t>
  </si>
  <si>
    <t>Local Authority</t>
  </si>
  <si>
    <t>NA</t>
  </si>
  <si>
    <t>For some exhibitions/ seasonally</t>
  </si>
  <si>
    <t>We have improved the way we collect visitor data so as to include actual numbers on family tickets, school visits and use of loan boxes.</t>
  </si>
  <si>
    <t>SHARE Museums East, Shared Enterprise Initiative</t>
  </si>
  <si>
    <t>We received help from SHARE with funding for a consultant to help the trustees write the a new Forward Plan. She helped us identify what we need to do in the future and how we are going to achieve this. The Forward Plan is now written. it is being implemented and monitored. It was a very positive experience and a good relationship has been built up with the consultant.</t>
  </si>
  <si>
    <t>The Museum was filmed by the BBC for thier Antiques Road Trip programme. The content focussed on the Howard Carter exhibit. Filming took place in August 2017 and was screend in February 2018.</t>
  </si>
  <si>
    <t>Royston &amp; District Museum &amp; Art Gallery</t>
  </si>
  <si>
    <t>N/A</t>
  </si>
  <si>
    <t>Brilliant support from SHARE - training, project funding support, skills sharing</t>
  </si>
  <si>
    <t>de Havilland Aircraft Museum</t>
  </si>
  <si>
    <t>Marketing strategy refocussed usng media that targeted local catchment and school children</t>
  </si>
  <si>
    <t>Several Share Museum East Training Courses including Enterprise Development focusing on Fundraising</t>
  </si>
  <si>
    <t>In  November 2017 we submitted our Round 2 HLF Application with a positive result in 2018</t>
  </si>
  <si>
    <t>Reduction due to the way that Charter Weekend was run caused a drop of some 350 visitors</t>
  </si>
  <si>
    <t>Haverhill &amp; District Local History Group</t>
  </si>
  <si>
    <t>Changes in Arts Centre Cafe and Hard Winter.</t>
  </si>
  <si>
    <t>Support received is very good but some questions went unanswered</t>
  </si>
  <si>
    <t>Orford Museum</t>
  </si>
  <si>
    <t>None</t>
  </si>
  <si>
    <t>Gainsborough's House</t>
  </si>
  <si>
    <t>Yes, Training sessions for GDPR and for Retail Forum, all very useful, have implemented GDPR and increasing success of retail operation, 56% up on the year.</t>
  </si>
  <si>
    <t>Hugely successful contemporary art auction held to support our capital project, increasing profile.  Strengthening links with our namesake school Thomas Gainsborough with exhibition by Art and Textile students in our Lift Gallery.  Increasing profile and audience, successful international collaboration with the Kunsthalle in Hamburg.  10 year anniversary of our Museum Club for adults with learning disabilities.</t>
  </si>
  <si>
    <t>Saxmundham Museum</t>
  </si>
  <si>
    <t>N/A we had a small increase in visitors from the previous year</t>
  </si>
  <si>
    <t>Watford Museum</t>
  </si>
  <si>
    <t>unknown</t>
  </si>
  <si>
    <t>Attending conference, volunteer awards, online information</t>
  </si>
  <si>
    <t>Our partnership working is always an area we're proud of - this year are work with Watford Football Club has gone up new levels</t>
  </si>
  <si>
    <t>Chelmsford Museum</t>
  </si>
  <si>
    <t>Victorian house closed Jan 2018</t>
  </si>
  <si>
    <t>Don't Know</t>
  </si>
  <si>
    <t>Chelmsford Museum's HLF redevelopment</t>
  </si>
  <si>
    <t>Lowestoft Maritime Museum</t>
  </si>
  <si>
    <t>More school visits</t>
  </si>
  <si>
    <t>none</t>
  </si>
  <si>
    <t>Around the same</t>
  </si>
  <si>
    <t>The support, mostly in terms of training and support for an HLF bid was outstanding</t>
  </si>
  <si>
    <t>Development of the Junior Engineering Day(s)</t>
  </si>
  <si>
    <t>Woodbridge Museum Trust</t>
  </si>
  <si>
    <t>Good support from professional adviser, and Museum Development Manager over accreditation and our plans for moving site</t>
  </si>
  <si>
    <t xml:space="preserve">Combined Military Serivces Museum </t>
  </si>
  <si>
    <t>Proactive and helpful</t>
  </si>
  <si>
    <t>Major Contributor to the National Army Museums ' In the shadows' exhibition in London.</t>
  </si>
  <si>
    <t>Unknown</t>
  </si>
  <si>
    <t>Very helpful in supporting the development of the museum, recruiting volunteers and extending a professional profile.</t>
  </si>
  <si>
    <t>Museum refurbishment programme.</t>
  </si>
  <si>
    <t>Bentwaters Cold War Museum</t>
  </si>
  <si>
    <t>Increase in children due to a Scout Moot Camp being held on site during August.</t>
  </si>
  <si>
    <t>Aldeburgh Museum</t>
  </si>
  <si>
    <t>Publicity &amp; special Exhibition</t>
  </si>
  <si>
    <t>HLF Phase 1 Grant.  Joint Exhibition of Elisabeth Garrett-Anderson's life marking centenary of her death in partnership with Leiston Long Shop Museum.</t>
  </si>
  <si>
    <t>NO</t>
  </si>
  <si>
    <t>National</t>
  </si>
  <si>
    <t>Yes, the support and advice recieved from SHARE is the most valuable that we recieve because it is rooted in shared experience across this region within this sector</t>
  </si>
  <si>
    <t>Museum of Power</t>
  </si>
  <si>
    <t xml:space="preserve">Training – strong content for all training sessions attended, well organised and very knowledgeable speakers – also great network opportunity with other Museums Advice – great guidance provided for museums issues to consider as part of 10 Year Plan Funding - Future Museum Fund – great support to undertake a strategic review of our Forward Plan Awards – great opportunity for us to proudly nominate our volunteers (and proud winners over the last two years) Next – continue attendance at the training events, award nominations and seeking advice/guidance on best practices and funding opportunities so we can continually improve our Museum  </t>
  </si>
  <si>
    <t>SHARE Museums East Awards – Winner for ‘Working Together’ in 2017 (and ‘Digital Volunteer’ in 2018) Celebrated being open for 20 Years in December 2017, supported by HLF Sharing Heritage Fund Maintaining strong volunteer team – with whom we could not do without</t>
  </si>
  <si>
    <t>Prickwillow Engine Trust</t>
  </si>
  <si>
    <t>Similar numbers - higher number at ploughing festival adult numbers; less school children as Ouse Washes sponsoring school transport finished (been in operation last 2 years)</t>
  </si>
  <si>
    <t>We are part of the Heritage Engineering Network which is supported by SHARE. The training sessions and networking at these sessions is invaluable. We will continue to attend these meetings and encourage more of our volunteers to also attend.</t>
  </si>
  <si>
    <t>Although we are volunteer run, we are continually looking to extend the offering to visitors, both individual and groups. In 2017 we started Summer Holiday fun activity days and these will be expanded on in 2018.</t>
  </si>
  <si>
    <t>Whipple Museum of the History of Science</t>
  </si>
  <si>
    <t>Felixstowe Museum</t>
  </si>
  <si>
    <t>n/a</t>
  </si>
  <si>
    <t>Arts Council England renewed full accreditation; Best Small Visitors Attraction awarded Feb 2018 : Norfolk and Suffolk Tourism Awards; shortlisted for Family Friendly Award EADT Suffolk Museum of the Year; Participation in the Summer in Suffolk Museums programme; John Royle (chronicle story telling project);</t>
  </si>
  <si>
    <t>Thorney Heritage Museum</t>
  </si>
  <si>
    <t>Major event with historic bus travellers not hosted this year</t>
  </si>
  <si>
    <t>We had some support from SHARE regarding Accreditation and found it helpful and also reassuring!</t>
  </si>
  <si>
    <t>We had a successful conclusion to our Profiles of Thorney People HLF grant-funded project.  The celebration of our 30th anniversary and the profiles turned into a very successful community event.</t>
  </si>
  <si>
    <t>Paycocke's House &amp; Garden</t>
  </si>
  <si>
    <t>National Trust</t>
  </si>
  <si>
    <t>Ely Museum</t>
  </si>
  <si>
    <t xml:space="preserve">CAF donate </t>
  </si>
  <si>
    <t>Yes as always SHARE have been able to help when we needed advice and we will come back to them in the future</t>
  </si>
  <si>
    <t xml:space="preserve">The Torc acquisition project with the support of Shared Enterprise was a great success. </t>
  </si>
  <si>
    <t>Lowestoft Museum at Broad House</t>
  </si>
  <si>
    <t>Extra opening hours brought a commensurate increase in visitors.</t>
  </si>
  <si>
    <t>SHARE East</t>
  </si>
  <si>
    <t>Very useful and informative.  More MODES training this year.</t>
  </si>
  <si>
    <t>The Management team was nominated for an award at SHARE East.</t>
  </si>
  <si>
    <t>Museum of East Anglian Life</t>
  </si>
  <si>
    <t>We closed during the winter period almost completely due to it being more economical to do so than open, according to our analysis of visitor data.</t>
  </si>
  <si>
    <t>Just Giving and Virgin Money</t>
  </si>
  <si>
    <t>We work closely with SHARE - it's a very useful resource and the envy of other regions.</t>
  </si>
  <si>
    <t>Getting NPO status, our project Fake News in the Age of the Horse, securing Esmee Fairbairn funding of £120k; our new masterplan and vision for the site</t>
  </si>
  <si>
    <t>Southwold Sailors Reading Room</t>
  </si>
  <si>
    <t>Closed in January approx 6 weeks redecoration</t>
  </si>
  <si>
    <t>No significant change (28,798 last year)</t>
  </si>
  <si>
    <t xml:space="preserve">Association for Suffolk Museums </t>
  </si>
  <si>
    <t>Our Curator, Jenna Ingamells, has participated in several SHARE programmes which have greatly benefited her work at Orford Museum</t>
  </si>
  <si>
    <t>Unfortunately, our news on the educational and outreach work is not very positive as we do not currently have the staff or volunteers to undertake this.   We hope one day to be able to resume such activities.</t>
  </si>
  <si>
    <t>Diss Museum</t>
  </si>
  <si>
    <t>No reason</t>
  </si>
  <si>
    <t>Parternership work with Heritage Triangle Project, Corn Hall and Brush Factory Project.</t>
  </si>
  <si>
    <t>Ware Museum</t>
  </si>
  <si>
    <t>Training in digitisation and Modes inputting.  Grant towards Review &amp; Rationalisation of collections.  This has been an extremely helpful and positive experience. With their help and advice SHARE has enabled Ware Museum to be proactive in their choice of further Rationalisation of the Museum's collections.</t>
  </si>
  <si>
    <t>The Ware Museum has also refurbished the WWII Command Centre (known as The Bunker) as well as redesigning and planting the Museum garden.</t>
  </si>
  <si>
    <t>In 2017 we were open 5 days a week and in 2018 we were open 6 days a week</t>
  </si>
  <si>
    <t>A number of staff have used SHARE Museums East programme such as the SHARE Every Child Should Conference (really useful day, good ideas for fundraising with schools and networking opportunities); Data Protection training course (whilst it was quite useful it seemed like it was high level for what we needed); staff members have used the website and have commented on what a vital service and resource that SHARE Museums East provide.</t>
  </si>
  <si>
    <t>In 2018 we extended our opening hours to six days a week to include Sundays which has had a positive impact with more tourists visiting over the weekends.  We have opened the Archive for drop in visitors during weekday opening hours.   In 2018 we launched ‘work of the week’, a series of weekly short films offering an insight into a range of Britten’s compositions.  We have been shortlisted for the 2018 Kids in Museum Family Friendly Award and we continue to build on our offer for schools and families including an Arts Council Funded art project with students from the Benjamin Britten Academy.   We are also working towards accreditation status.</t>
  </si>
  <si>
    <t>Farmland Museum</t>
  </si>
  <si>
    <t>no longer have an education officer to work with children</t>
  </si>
  <si>
    <t>useful</t>
  </si>
  <si>
    <t>celebrated 21st anniversary of partnership with English Heritage in 2018, celebrated 20th anniversary of musuem opening on site in 2017</t>
  </si>
  <si>
    <t>Essex Police Museum</t>
  </si>
  <si>
    <t>Closed for 6 months - change of management</t>
  </si>
  <si>
    <t>Unknown - run by external partner</t>
  </si>
  <si>
    <t>General advice, volunteers have attended training, looking for their accreditation courses</t>
  </si>
  <si>
    <t>We find Share meetings very helpful and the encouragement we get is appreciated</t>
  </si>
  <si>
    <t>Nil</t>
  </si>
  <si>
    <t>Ashwell Village Museum</t>
  </si>
  <si>
    <t>MDO</t>
  </si>
  <si>
    <t>Always useful</t>
  </si>
  <si>
    <t>Saffron Walden Museum</t>
  </si>
  <si>
    <t>Reinstatement of Learning Officer post in autumn of 2017 is bringing schools back in and enhancing activty programme</t>
  </si>
  <si>
    <t>SHARE</t>
  </si>
  <si>
    <t>Just Giving via Saffron Walden Museum Society Ltd (charity)</t>
  </si>
  <si>
    <t>Our new Learning &amp; Outreach Officer benefitted from a programme of SHARE meetings and a grant to help develop learning and special needs materials.</t>
  </si>
  <si>
    <t>The Schools Loans boxes were refurbished and new topics inroduced, and are proving popular. The musuem took part in the British Musuem's Portable Antiquities Scheme Treasure 2 project and our first forray into crowd-funding, through Saffron Walden Museum Society Ltd (charity), raised the funds to purchase a sample fo 12 gold sovereigns from the so-called 'Piano Hoard' which hit the national news.</t>
  </si>
  <si>
    <t>Amazon button</t>
  </si>
  <si>
    <t>Share is brilliant for fundraisng volunteer coordinating and education, and we look forward to the next series of events.</t>
  </si>
  <si>
    <t>We are taking the Gallery forward and creating a new display and a new storage space to make us fit for the next 25 years.</t>
  </si>
  <si>
    <t>The museum was closed for 5-6 weeks of the year, 5 of which were for major repairs to the roof.</t>
  </si>
  <si>
    <t>Museum Manager's Network has been a great support of support, and we are looking forward to having some focused CPD sessions in the coming year</t>
  </si>
  <si>
    <t>New Hall Art Collection at Murray Edwards College</t>
  </si>
  <si>
    <t>Accreditation obtained in March 2018</t>
  </si>
  <si>
    <t>SHARE were extremely supportive as we applied for ACE accreditation, particularly Ruth Burwood</t>
  </si>
  <si>
    <t>In March 2018, we obtained ACE accreditation.  We also held Women in Art: Hong Kong at Sotheby's Hong Kong, a collaboration with the Asia Art Archive, including research into female artists in the region.</t>
  </si>
  <si>
    <t>Whittlesey Museum</t>
  </si>
  <si>
    <t>Wind turbines</t>
  </si>
  <si>
    <t>Museum of Cambridge</t>
  </si>
  <si>
    <t>230 (Free child entry under 12. Concessions are both pensioned and under 18s so impossible to extrapolate)</t>
  </si>
  <si>
    <t>Closed weekdays Jan-Mar 18</t>
  </si>
  <si>
    <t>Research England (formerly HEFCE)</t>
  </si>
  <si>
    <t>Staff are aware of training and have taken up on an individual basis.</t>
  </si>
  <si>
    <t>Little Hall Lavenham</t>
  </si>
  <si>
    <t xml:space="preserve">Particularly useful for keeping in touch with other similar organisations to share experiences. Regularly participate in training sessions and will continue to do so. </t>
  </si>
  <si>
    <t xml:space="preserve">Now take credit / debit cards, increasing our takings in the shop and avoiding loss of visits through lack of cash. Started digitisation of catalogue. Re-accreditation confirmed, thanks to SHARE support in previous year. </t>
  </si>
  <si>
    <t>Cambridge Museum of Technology</t>
  </si>
  <si>
    <t>Closed for redevelopment</t>
  </si>
  <si>
    <t>Historic England</t>
  </si>
  <si>
    <t>Just Givinng, Charity Choice, Indiegogo, EasyFundraising</t>
  </si>
  <si>
    <t>Ruth Burwood delivered a text writing session for our staff and volunteers on site.  This meant more of our volunteers could attend and the session was tailored to our needs.  All of those who attended are now involved in the process of producing text for new displays.   The training was excellent and Ruth was very flexible, fitting around our requirements.</t>
  </si>
  <si>
    <t>We are very proud of the work our volunteers were involved with.  We had to move our collections to an off site store before building work for our HLF funded redevelopment could take place.  This was a great challenge as our objects and large, heavy and require specialist lifting equipment.  The volunteers achieved this on time despite completing the move in a snow storm.</t>
  </si>
  <si>
    <t>Wisbech &amp; Fenland Museum</t>
  </si>
  <si>
    <t>Special Christmas Fayre open day attendance was significantly down - bad weather</t>
  </si>
  <si>
    <t>Give as You Live</t>
  </si>
  <si>
    <t xml:space="preserve">Participating in the SHARE Fundraising cohort has been very beneficial in providing tips for accessing various grant funds and general fundraissing. It has helped us to focus on telling our story, why it is worthwhile for individuals or organisations to support us etc,.  </t>
  </si>
  <si>
    <t>The support delivered in the later stages of the SWIM2 project is gradually beginning to bear fruit - our volunteer numbers are steadily rises and this is helping to raise the capacity of the Museum to deliver a diverse programme of events to the public. We are working with Historic England to progress major works to the main museum roof  to make it watertight.</t>
  </si>
  <si>
    <t>Clare Ancient House Museum</t>
  </si>
  <si>
    <t>No significant change</t>
  </si>
  <si>
    <t>The Museum is a contributing partner with Clare Castle Country Park, especially in the interpretation of the history of the Park  and in the enlargement and enhancement of the Museum's Town Trail, which seeks to integrate town and Park.</t>
  </si>
  <si>
    <t>Ramsey Rural Museum Community Trust</t>
  </si>
  <si>
    <t>SHARE Museums East is a very supportive organisation who benefit us both directly and indirectly. We are grateful that they exist.</t>
  </si>
  <si>
    <t>We have been successful in the recruitment of on Outreach voluneer who has started to build relationships with schools in the area.</t>
  </si>
  <si>
    <t>No siginifcant difference</t>
  </si>
  <si>
    <t>just giving</t>
  </si>
  <si>
    <t>HEN enging has been a beneficial experience which we have pleasure in hosting as well as attending other meetings.</t>
  </si>
  <si>
    <t xml:space="preserve">Restored a 1916 petrol engined loco and took it to Tracks to the Treanches III. Restored th LBR original loco No 1 so that it was able to haul a passenger train oon the Society's 50th anniversary.  </t>
  </si>
  <si>
    <t>Kettle's Yard</t>
  </si>
  <si>
    <t>closed for redevelopment for 10 months of the year</t>
  </si>
  <si>
    <t>Some members of staff have attended talks/workshops.  All have been excellent and useful.</t>
  </si>
  <si>
    <t>The numbers cannot be accurate as there are a proportion of visitors who are museum friends and are not logged through the till, equally there are also the under 5's who are free and therefore not counted. One estimates that the numbers of children visiting could be doubled and the adults would increase as well. Windfarm visitor centre admissions are free and are not always counted through the till, or ar ethe evening event which regularly have 100-120 attendees.</t>
  </si>
  <si>
    <t>Yes we did, we were lucky enough to receive a grant which enabled us to produce new signage and a map so that visitors could more easily find their way around the building and in the event of a fire, find the nearest exit. It has been hugely beneficial as we receive no funding form local or regional government at all and rely on admission fees.</t>
  </si>
  <si>
    <t>Our volunteer and artist in residence; Colin, received a volunteers award which made us immensely proud. We have just completed conservation work on a marine salvage cannon and anchor found during the laying of pipes at the Sheringham shoal wind farm just off our coast.</t>
  </si>
  <si>
    <t>Brentwood Museum Society</t>
  </si>
  <si>
    <t>Mersea Island Museum Trust</t>
  </si>
  <si>
    <t>Impossible to quantify</t>
  </si>
  <si>
    <t>We have worked with the CITiZAN team who have been exploring the foreshore. Interesting items have ben found and we will be displaying in the museum some wooden boards from a bronze age walkway once they have been preserved.</t>
  </si>
  <si>
    <t>Burnham History Society</t>
  </si>
  <si>
    <t>Expansion of childrens' historical 'funday' programme.</t>
  </si>
  <si>
    <t>Brightlingsea Museum</t>
  </si>
  <si>
    <t>We were preparing to move</t>
  </si>
  <si>
    <t xml:space="preserve">Helpful and supportive.  </t>
  </si>
  <si>
    <t xml:space="preserve">The University of Hertfordshire Arts brings Hayward Gallery Touring exhibition to St Albans Museum + Gallery. University of Hertfordshire Arts is delighted to introduce Hayward Gallery Touring exhibition Hand Drawn Action Packed, an exhibition bringing together ten international artists whose practice springs from drawing. The exhibition opens at the new St Albans Museum + Gallery, before touring to Wolverhampton, Glasgow and Swansea. University of Hertfordshire Arts, enjoying a longstanding and successful partnership with the St Albans Museum + Gallery, provides 20 years of exhibition curation expertise to create innovative and thought-provoking exhibitions that respond to the unique building and its collections. We are delighted to collaborate with Hayward Gallery Touring and St Albans Museum + Gallery to bring such a dynamic group of international artists and artworks to our audiences. </t>
  </si>
  <si>
    <t>Essex Fire Museum</t>
  </si>
  <si>
    <t>10 year anniversary opening very popular</t>
  </si>
  <si>
    <t>Southend Pier Museum</t>
  </si>
  <si>
    <t>dont know</t>
  </si>
  <si>
    <t>staff /volunteer giving up days off to work extra days to raise more funds</t>
  </si>
  <si>
    <t>Invaluable in supporting volunteers</t>
  </si>
  <si>
    <t>new curator and Forward plan to drive the museum forward.</t>
  </si>
  <si>
    <t>Military</t>
  </si>
  <si>
    <t>New exterior display attracted a higher number of visitors</t>
  </si>
  <si>
    <t>Just Giving</t>
  </si>
  <si>
    <t>The Support that SHARE give local history museum is hugely important. We regularly reference the toolkits and resouces online, attend training courses and networking events.  We hope to continue to use these resources in the future as we greatly benefit from them</t>
  </si>
  <si>
    <t>https://youtu.be/_bDBYAC9B8c</t>
  </si>
  <si>
    <t>Garden City Collection</t>
  </si>
  <si>
    <t>A staff member attended the three-part training course on working with volunteers. It was very useful and relevant training.</t>
  </si>
  <si>
    <t>The Museum has been undergoing work to repair and refurbish its main entrance,which has had a negative impact on visitor numbers</t>
  </si>
  <si>
    <t>Research Councils, Higher Education Innovation Funding (via University)</t>
  </si>
  <si>
    <t>We both contribute to and benefit from SHARE training programmes, SHARE events and networks,  SHARE volunteering awards, the SHARE benchmarking survey results and resources on the SHARE website.   Our interactions with SHARE are very positive, and staff gain a great deal from the programme, both as contributors and recipients.</t>
  </si>
  <si>
    <t>A major feature of our work in 2017/18 was our Changemakers programme, at the heart of which was India Unboxed, a University of Cambridge Museums wide programme, developed by our UCM Changemaker, Malavika Anderson with the support of the UCM team based at the Fitzwilliam Museum.  This has led to the establishment of a Changemakers Action Group and is helping to inform diverse creative programming for the future.  In 2017/18, we became the east of england lead for the Culture, Health and Wellbeing Alliance, reflecting the strength of our Arts and Health programme. In addition to our India Unboxed programme, highlights of our public programme included a major Degas exhibition in Autumn 2017, which toured to Denver Art Museum in the USA in Spring 2018; Flux, an exhibitoon and intervention by artist Matt Smith, which looked at the histories behind a newly acquired collection of Victorian Parian ware, and intervened in displays of ceramic and bronze  figures in the permanent collection.  We were also a regional partner in the BBC Civilisations and Royal Academy's RA 250 programmes,</t>
  </si>
  <si>
    <t>Chatteris Museum</t>
  </si>
  <si>
    <t>Share well very helpful and supportive in guiding us through the process of working with local schools and teachers. A grant for this purpose is pending.</t>
  </si>
  <si>
    <t>Successfully launched the monthly Museum Childrens Club. The children are taught the history of the local and surrounding area by way of interactive activities. In 2017 we were heavily involved in the commemoration of George Clare VC and worked closely with the Royal British Legion and family members. This resulted in a permanent exhibition in his memory in the museum.</t>
  </si>
  <si>
    <t>Hertford Museum</t>
  </si>
  <si>
    <t>drop in numbers of school children due to learning officer vacancy during the last quarter</t>
  </si>
  <si>
    <t>Epping Forest District Museum</t>
  </si>
  <si>
    <t>Spacehive</t>
  </si>
  <si>
    <t>Same for Epping Forest District and Lowewood Museums: The museum staff attended a number of SHARE’s training and development opportunities.  The museum’s Education Officer also continues to benefit from the Changemakers course.  The museums also received funding via SHARE’s grant programmes. The museums also benefit from involvement with Museums Essex,  Museums East of England, the Regional Learning Network and the Essex Museums Education Group and The Hertfordshire Association of Museum (HAM) (both the curators and education networks and funding support).</t>
  </si>
  <si>
    <t>Over the last 12 months funded by Arts Council England, EFDM in partnership  with Lowewood and Chelmsford museums have been undertaking ‘No Border’ a  transformational resilience focused project, which for EFDM building on the major HLF funded redevelopment completed in 2016, along with the merger of the museum and arts teams, has created the basis  for a major step change in our commercial  activities, audience staff development  along with new fundraising  approaches, through the creation of a  development trust for the service. While we have only been implementing these key changes  for a short period their positive impact is already demonstrated in this report and has been recognized in a LGA service Peer Review, funded by Arts Council England, which took place at the end of this period.</t>
  </si>
  <si>
    <t>Lowewood Museum</t>
  </si>
  <si>
    <t>Over the last 12 months funded by Arts Council England, Lowewood in partnership  with Epping Forest District Museum and Chelmsford museums have been undertaking ‘No Border’ a  transformational resilience focused project, which for EFDM building on the major HLF funded redevelopment completed in 2016, along with the merger of the museum and arts teams, has created the basis  for a major step change in our commercial  activities, audience staff development  along with new fundraising  approaches, through the creation of a  development trust for the service. While we have only been implementing these key changes  for a short period their positive impact is already demonstrated in this report and has been recognized in a LGA service Peer Review, funded by Arts Council England, which took place at the end of this period.</t>
  </si>
  <si>
    <t>Stevenage Museum</t>
  </si>
  <si>
    <t>Follows on from a flood two years before - first year we re-opened the temporary exhibition space following the flood damage.</t>
  </si>
  <si>
    <t>We are proud of the partnership working we have been doing, working with other museums to draw down funding to help deliver projects that each partner is too small to do alone, particularly appointing a digital audience development officer with ACE funding to help three museums improve their digital communication was very successful and a good model for future work. In fact this year we have just received funding for a similar partnership to deliver a suffrage project (but that's for next year's benchmarking!).</t>
  </si>
  <si>
    <t>Maldon District Museum Association</t>
  </si>
  <si>
    <t>We have recieved advice on copyright issues and working towards accreditation, which we have found of great benefit.</t>
  </si>
  <si>
    <t>We are constantly striving to maintain the high standards of our museum in every respect</t>
  </si>
  <si>
    <t>Previous year 2016/17 we were closed for redevelopment for 3 months. New venue from Sept. 2016</t>
  </si>
  <si>
    <t>Minimal</t>
  </si>
  <si>
    <t>Shortlisted for ArtFund Museum of the Year 2017. Won Suffolk Museum of the Year 2017</t>
  </si>
  <si>
    <t>North Hertfordshire Museum</t>
  </si>
  <si>
    <t>We openined a temporary exhibition gallery in October 2017, but much of the beautiful new museum is still not yet open, due to a political land dispute</t>
  </si>
  <si>
    <t>SHARE courses are always excellent; many thanks to all concerned</t>
  </si>
  <si>
    <t>North Herts Museum managed to raise over £60,000 in a short space of time to acquire the Kelsall Treasure, an important Roman find including rare millefiori glass dishes, and decorated bronze jugs.</t>
  </si>
  <si>
    <t>Royal Anglian Regiment Museum</t>
  </si>
  <si>
    <t>MOD</t>
  </si>
  <si>
    <t>none yet!</t>
  </si>
  <si>
    <t xml:space="preserve">There have been many revamps to the galleries as well as some changing exhibitions throughout the year. </t>
  </si>
  <si>
    <t>Change in personell, new lead steward has committments outside of museum</t>
  </si>
  <si>
    <t>I have personnaly benefitted from attending training courses/seminars and the museum and myself have benefitted from access to our museum mentor</t>
  </si>
  <si>
    <t>The primary focus during 2017/18 has been the re-negotiation of a lease and funding arrangement with the site owners, which we anticipate comming to conclusion during 2018/19</t>
  </si>
  <si>
    <t>RNLI Henry Blogg Museum</t>
  </si>
  <si>
    <t>Excellent Security Seminar. Followed up with a security review with crime prevention officer. looking to implement the changes suggested.</t>
  </si>
  <si>
    <t>no reason</t>
  </si>
  <si>
    <t>very easy to administer and very useful</t>
  </si>
  <si>
    <t>British Schools Museum</t>
  </si>
  <si>
    <t>Major exhibition opened in Feb 2018</t>
  </si>
  <si>
    <t>SHARE have always been very supportive: from small and larger grants, just their support network and training calendars. I hope to continue liaising with SHARE in the future.</t>
  </si>
  <si>
    <t>Significant grant funding from Arts Council England (given through SHARE), and the British and Foreign Schools Society. These funding streams have allowed us to increase our offerings to schools and outreach programmes, and the SHARE 'Ready to Borrow' funding stream has alliowed us to upgrade our security, and therefore receive higher-value objects on loan (first planned for November 2018).</t>
  </si>
  <si>
    <t>year 2016/17 closed for redevelopment. reopened July 2017</t>
  </si>
  <si>
    <t>various staff and volunteers have attended training and/or network groups. Retail forum continues to be of particular use</t>
  </si>
  <si>
    <t xml:space="preserve">our work with the community has been something we are particularly proud of </t>
  </si>
  <si>
    <t>Military Intelligence Museum</t>
  </si>
  <si>
    <t>MOD Gift in Aid</t>
  </si>
  <si>
    <t>Not counted</t>
  </si>
  <si>
    <t>Courses are excellent and advice is sound and readily available.</t>
  </si>
  <si>
    <t>Preparations to place a Heritage Lottery bid to enable the museum to move to a new site.</t>
  </si>
  <si>
    <t>East Anglian Railway Museum</t>
  </si>
  <si>
    <t>Increase due to more publicity</t>
  </si>
  <si>
    <t>In receipt of two AIM Hallmark grants, both of great benefit to the control and display of collections, and in governance.</t>
  </si>
  <si>
    <t>Halesworth &amp; District Museum</t>
  </si>
  <si>
    <t>Closed for referbishment from December 2017 to March 2018</t>
  </si>
  <si>
    <t>We have had great help with a major project (for us) which has encourages us to seek further opportunities.</t>
  </si>
  <si>
    <t>After major works due to remedial work on the station building we have four new exhibitions, including the Wissett Hoards - a major Middle Bronze Age find from a local village.</t>
  </si>
  <si>
    <t>Octavia Hill's Birthplace House</t>
  </si>
  <si>
    <t>Had a professional review to inform future forward planning</t>
  </si>
  <si>
    <t>Dereham Antiquarian Society</t>
  </si>
  <si>
    <t>Bressingham Steam Museum</t>
  </si>
  <si>
    <t>Possibly good weather.</t>
  </si>
  <si>
    <t>Attended a grant funding session which led to the museum being awarded £600 to build a miniature railway locomotive shed. We also went to the Pro Help seminar at the Castle. We have aspirations to build a new locomotive shed at Bressingham and we are working with some Pro Help businesses in the early stages of our planning.</t>
  </si>
  <si>
    <t>University Museum of Zoology, Cambridge</t>
  </si>
  <si>
    <t>The Museum was closed from 2013 to 27/03/18 (so this report only covers four days of opening)</t>
  </si>
  <si>
    <t>An internal university payment platform</t>
  </si>
  <si>
    <t>The Museum of Zoology reopened at the very end of this reporting period, following a major £4.2m redevelopment (including nearly £2m of HLF money). It was a huge project, moving two million specimens into five purpose built stores and  completely redeveloped museum galleries. The response has been exceptional from visitors.</t>
  </si>
  <si>
    <t>100th Bomb Group Memorial Museum</t>
  </si>
  <si>
    <t>SHARE have always been extremely helpful with any queries or questions we might have at the museum. We frequently attend the training events which are always useful and informative.</t>
  </si>
  <si>
    <t>We have had an excellent year, with increased visitors and donations and we continue to forge new partnerships with UEA and others.</t>
  </si>
  <si>
    <t>Dunwich Museum</t>
  </si>
  <si>
    <t>All positive, too much to outline</t>
  </si>
  <si>
    <t>Closed for redevelopment (Jan-Mar 2018), Billericay Art Trail, extended opening times and activities (Sept 2017)</t>
  </si>
  <si>
    <t>St Neots Museum</t>
  </si>
  <si>
    <t>SHARE have been a huge help in providing expertise to help with our retail offer, as well as other advice and some small amounts of grant funding, thank you very much .</t>
  </si>
  <si>
    <t>St Neots Town Council has increased our grant - see above - and our visitor numbers are growing. We are now embarking on a re-development plan to enable us to increase the numbers we can engage.</t>
  </si>
  <si>
    <t>Few partnerships</t>
  </si>
  <si>
    <t>SHARE support and funding has been critical as we prepare for our first Accreditation application</t>
  </si>
  <si>
    <t>Always excellent support from SHARE.</t>
  </si>
  <si>
    <t>Successful completion of our first HLF funded project.</t>
  </si>
  <si>
    <t>Museum of the Broads</t>
  </si>
  <si>
    <t>Our child tickets now include 18 and under as full time education includes this age group.</t>
  </si>
  <si>
    <t>SHARE East, Museums Norfolk</t>
  </si>
  <si>
    <t>Courses and training superb and accessible.  Like being able to apply for relevant grant after attending course.  Very useful!  However, some courses are just too far away to justify the travel.</t>
  </si>
  <si>
    <t>obtained funding from Leader Plus and Sheringham Shoal  (2018) to commission new engine for steam boat and new, electric and accessible trip boat.</t>
  </si>
  <si>
    <t>Ridgmont Station Heritage Centre</t>
  </si>
  <si>
    <t>New programme of temporary exhibitions</t>
  </si>
  <si>
    <t>Bedfordshire Museums Group</t>
  </si>
  <si>
    <t>We attended our first SHARE Annual Conference, which was inspiring. The Market Place was useful, we made contact with MODES and will be using their programmes for our museum records. The Mystery Shopper programme was again extremely beneficial, the key findings have been shared with the Heritage Centre volunteers and some of the suggestions acted upon. We were pleased to be put forward for the Welcoming Spaces programme by our MDO and have received 2 very useful reports as a result. Some of the recommendations have been implemented. One of our volunteers attended the 'Make it Snappy! Writing text that gets read. We will be using some of the material in the design of new labels for the collection.’</t>
  </si>
  <si>
    <t>Maintaining Trip Advisor Award of Excellence for the fourth consecutive year, and a high visitor rating (average of 4.5 out of 5) from our visitor surveys. Inaugural television coverage on ITV News Anglia as part of Heritage Open Days.</t>
  </si>
  <si>
    <t>Midland &amp; Great Northern Joint Railway Society</t>
  </si>
  <si>
    <t>no significant change</t>
  </si>
  <si>
    <t>Help received from Norfolk Museums, SHARE etc in obtaining long-winded and extremely arduous Accreditation status</t>
  </si>
  <si>
    <t>We are part of the M&amp;GNJRS organisation, registered charity and major shareholder in the North Norfolk Railway. As such the William Marriott Museum is just a small part in the operations of the burgeoning Society.</t>
  </si>
  <si>
    <t>Woburn Heritage Centre Museum</t>
  </si>
  <si>
    <t>We have raised £7000, mostly from Woburn residents, to repair our tower clock</t>
  </si>
  <si>
    <t>Peterborough Museum</t>
  </si>
  <si>
    <t>reason unknown</t>
  </si>
  <si>
    <t>We received support to develop an audience development plan. This has spurred Museum staff to become much more audience focused in developing and delivering events activities</t>
  </si>
  <si>
    <t>Panacea Museum</t>
  </si>
  <si>
    <t>Fantastic training programme and great networking opportunities.</t>
  </si>
  <si>
    <t>Halstead Heritage Museum</t>
  </si>
  <si>
    <t xml:space="preserve">As a very small museum, run by the local history society, we undertook a move of premises at the end of 2017. This entailed the refurbishment of an old kitchen and boiler room, all of which was carried out by volunteers and completed on time. We are very fortunate to have a willing band of volunteers who support both the society and museum. </t>
  </si>
  <si>
    <t>Essex Collection of Art from Latin America</t>
  </si>
  <si>
    <t>Building closed due to university redevelopments.</t>
  </si>
  <si>
    <t>Colchester Castle Museum</t>
  </si>
  <si>
    <t>British Museum and English Heritage</t>
  </si>
  <si>
    <t>Hollytrees Museum</t>
  </si>
  <si>
    <t>Natural History Museum, Colchester</t>
  </si>
  <si>
    <t>Christchurch Mansion</t>
  </si>
  <si>
    <t>Ipswich Art Gallery</t>
  </si>
  <si>
    <t>Closed for redevelopment.</t>
  </si>
  <si>
    <t>Ipswich Museum</t>
  </si>
  <si>
    <t>Ancient House Museum</t>
  </si>
  <si>
    <t>10% increase in visits largely due to strong exhibition programme - Titanic, Rembrandt and Nelson.</t>
  </si>
  <si>
    <t>Cromer Museum</t>
  </si>
  <si>
    <t>Environment Agency</t>
  </si>
  <si>
    <t>Lynn Museum</t>
  </si>
  <si>
    <t>Museum of Norwich at the Bridewell</t>
  </si>
  <si>
    <t>Stranger's Hall Museum</t>
  </si>
  <si>
    <t>Priory and Southchurch Hall and closed for extremely long winter periods from November.</t>
  </si>
  <si>
    <t>Southchurch Hall</t>
  </si>
  <si>
    <t>Southend Central Museum</t>
  </si>
  <si>
    <t>Moyse's Hall Museum</t>
  </si>
  <si>
    <t>West Stow Anglo-Saxon Museum</t>
  </si>
  <si>
    <t>Verulamium Museum</t>
  </si>
  <si>
    <t>Was part of multi-site. Museum of St. Albans permanently closed in Sept. 2015 to enable redevelopment.</t>
  </si>
  <si>
    <t>Weather plays a significant part in visitor figures for both our sites. There was a drop in school visits by 400 pupils.</t>
  </si>
  <si>
    <t>Hertfordshire Association of Museums group project; Affinity Water Board; SHARE; Herts Assoc. of museums.</t>
  </si>
  <si>
    <t>Welwyn Roman Baths</t>
  </si>
  <si>
    <t>As Mill Green</t>
  </si>
  <si>
    <t>Stockwood Discovery Centre</t>
  </si>
  <si>
    <t>Wardown Park Museum</t>
  </si>
  <si>
    <t>Wardown reopened after redevelopment?</t>
  </si>
  <si>
    <t>East Anglia Transport Museum</t>
  </si>
  <si>
    <t>There was a 14% increase in visitors but we do no know why</t>
  </si>
  <si>
    <t>Norfolk</t>
  </si>
  <si>
    <t>Cambridgeshire</t>
  </si>
  <si>
    <t>Suffolk</t>
  </si>
  <si>
    <t>Hertfordshire</t>
  </si>
  <si>
    <t>Essex</t>
  </si>
  <si>
    <t>Bedfordshire</t>
  </si>
  <si>
    <t>Medium</t>
  </si>
  <si>
    <t>Extra Large</t>
  </si>
  <si>
    <t>Small</t>
  </si>
  <si>
    <t>Large</t>
  </si>
  <si>
    <t>Museum details</t>
  </si>
  <si>
    <t>Visits</t>
  </si>
  <si>
    <t>Website and social media</t>
  </si>
  <si>
    <t>Education and events</t>
  </si>
  <si>
    <t>Comments</t>
  </si>
  <si>
    <t>Staff and volunteers</t>
  </si>
  <si>
    <t>Value of volunteer hours</t>
  </si>
  <si>
    <t>Museum name</t>
  </si>
  <si>
    <t>Economic impacts</t>
  </si>
  <si>
    <t>Diversity</t>
  </si>
  <si>
    <t>Direct, indirect and induced economic impact of expenditure</t>
  </si>
  <si>
    <t>Q20. Is this an actual or an estimate?</t>
  </si>
  <si>
    <t>Beccles &amp; District Museum</t>
  </si>
  <si>
    <t>Burwell Museum &amp; Windmill</t>
  </si>
  <si>
    <t>Elstree &amp; Borehamwood Museum</t>
  </si>
  <si>
    <t>Fakenham Museum of Gas &amp; Local History</t>
  </si>
  <si>
    <t>Gressenhall Farm &amp; Museum</t>
  </si>
  <si>
    <t>Herbert Ellis Norris Library &amp; Museum</t>
  </si>
  <si>
    <t>John Bunyan Museum &amp; Library</t>
  </si>
  <si>
    <t>March &amp; District Museum</t>
  </si>
  <si>
    <t>Mildenhall &amp; District</t>
  </si>
  <si>
    <t>Mill Green Museum &amp; Mill</t>
  </si>
  <si>
    <t>Norfolk &amp; Suffolk Aviation Museum</t>
  </si>
  <si>
    <t>Norwich Castle Museum &amp; Art Gallery</t>
  </si>
  <si>
    <t>Prittlewell Priory &amp; Museum</t>
  </si>
  <si>
    <t>St Seraphim's Icon &amp; Railway Heritage Museum</t>
  </si>
  <si>
    <t>Tide &amp; Time Museum</t>
  </si>
  <si>
    <t>University of Cambridge Museum of Archaeology &amp; Anthropology</t>
  </si>
  <si>
    <t>Swaffham Museum</t>
  </si>
  <si>
    <t>Tolhouse Gaol &amp; Museum</t>
  </si>
  <si>
    <t>Q2. Museum type</t>
  </si>
  <si>
    <t>Q3.3. Closed for part of the year other - e.g. refurbishment / repairs</t>
  </si>
  <si>
    <t>Q4. How many hours was your museum open to the public in 2017-18?</t>
  </si>
  <si>
    <t>Leighton Buzzard Railway Museum</t>
  </si>
  <si>
    <t>Museum size</t>
  </si>
  <si>
    <t>Q5.Total number of visits in person in 2017-18</t>
  </si>
  <si>
    <t>Q7. Total number of visits by adults (16 or above)</t>
  </si>
  <si>
    <t>Q9. Total number of visits by children (under 16s)</t>
  </si>
  <si>
    <t>Local Visitor Impact 2017-18</t>
  </si>
  <si>
    <t>Day Visitor Impact 2017-18</t>
  </si>
  <si>
    <t>Q13. What was the total number of unique visitors to your website?</t>
  </si>
  <si>
    <t>Q12. Does your museum have its own website over which it has editorial control?</t>
  </si>
  <si>
    <t>Q16.1. How many education sessions did your museum deliver on-site? (With formal education providers)</t>
  </si>
  <si>
    <t>Q18.1. How many education sessions did your museum deliver off-site with formal education providers? (Include all sessions even those delivered without museum staff e.g. loan boxes)</t>
  </si>
  <si>
    <t>Q23.1. How many other activities and outreach events did your museum deliver off-site? (With non-education providers e.g. the Brownies/a local Arts Organisation. It can include any workshops, seminars, talks, lectures etc)</t>
  </si>
  <si>
    <t>Q27.1. Adult entrance fee</t>
  </si>
  <si>
    <t>Q27.2. Child entrance fee</t>
  </si>
  <si>
    <t>Q32. Does your museum have in-house café / refreshments?</t>
  </si>
  <si>
    <t>Q35. Does your museum have contracted out café / refreshments?</t>
  </si>
  <si>
    <t>Q44. Number of volunteers at the museum, including Trustees</t>
  </si>
  <si>
    <t>Q46. How many hours did volunteers contribute in 2017-18?</t>
  </si>
  <si>
    <t>Q45. Is the number of volunteers an actual or an estimate?</t>
  </si>
  <si>
    <t>Q21.1. How many other sessions and events did your museum deliver on-site? (With non-education providers e.g. Brownies, arts organisations, self-led such as research work. It can include any workshops, seminars, talks,  lectures and research sessions</t>
  </si>
  <si>
    <t>Funding and fundraising</t>
  </si>
  <si>
    <t>Q42.2. Has the museum received funding from HLF?</t>
  </si>
  <si>
    <t>Q42.1. Has the museum received funding from Arts Council England?</t>
  </si>
  <si>
    <t>Q42.5. Has the museum received local government grants (non-core funding)?</t>
  </si>
  <si>
    <t>Q42.6. Has the museum received any corporate sponsorship (cash donations)?</t>
  </si>
  <si>
    <t>Q42.7. Does the museum claim Gift Aid?</t>
  </si>
  <si>
    <t>Q42.8. Any other sources of funding (please specify)?</t>
  </si>
  <si>
    <t>AIM induced employment impact calculation (FTE posts)</t>
  </si>
  <si>
    <t>Q50. How many Full-Time Equivalent paid staff does the museum employ?</t>
  </si>
  <si>
    <t>Q42.3. Has the museum received funding from Charitable Trusts &amp; Foundations (e.g. Pilgrim Trust)?</t>
  </si>
  <si>
    <t>Q42.4. Has the museum received funding from other charitable giving (e.g. donations, Friends)?</t>
  </si>
  <si>
    <t>Combined Total AIM Employment Impacts 2017-18 (direct and induced employment)</t>
  </si>
  <si>
    <t>Palace House (National Heritage Centre for Horseracing &amp; Sporting Art)</t>
  </si>
  <si>
    <t>Admission charges, retail and catering</t>
  </si>
  <si>
    <t>Beecroft Art Gallery</t>
  </si>
  <si>
    <t>County</t>
  </si>
  <si>
    <t xml:space="preserve">Airborne Assault </t>
  </si>
  <si>
    <t xml:space="preserve">Ipswich Transport Museum </t>
  </si>
  <si>
    <t>University of Hertfordshire Art Collection / UHArts</t>
  </si>
  <si>
    <t>SHARE / HAM / BFSS</t>
  </si>
  <si>
    <t>N / A</t>
  </si>
  <si>
    <t>SHARE East, HAM</t>
  </si>
  <si>
    <t>Adult adjusted visits (for calculating economic impact of visits)</t>
  </si>
  <si>
    <t xml:space="preserve">SHARE support has been received in the form of training opportunities for museum staff and volunteers. </t>
  </si>
  <si>
    <t>We have received training and a small grant from SHARE Museums East. We are developing a permanent display of our collections, and are developing further plans for fundraising.</t>
  </si>
  <si>
    <t>Changemakers - excellent, need to embed training and 1-2-1s. Support writing audience development plan - excellent, need to finish it and hoping to use audience finder. Training courses for volunteers and staff both really good and networks (volunteer co-ordinators and front-of-house) we'd like to access and when we did were great to hear what others are doing, but we sometimes struggle to get out to attend them. Attend more!</t>
  </si>
  <si>
    <t>150 years since the railway came to Borehamwood. Exhibition has transformed a tiny museum into a railway station and ticket office. A steam engine cab loved by the children. Lots of local history. Wonderful comments in the visitors book.</t>
  </si>
  <si>
    <t>We received £87,200 from HLF and £24,000 from Garfield Weston with Art Fund loan programme to realise our ten year ambition to bring Peterborough’s Treasures together for the first time.</t>
  </si>
  <si>
    <t>Fitzwilliam Museum</t>
  </si>
  <si>
    <t>Fry Art Gallery</t>
  </si>
  <si>
    <t>Higgins Bedford</t>
  </si>
  <si>
    <t>Long Shop Museum</t>
  </si>
  <si>
    <t>Natural History Museum at Tring</t>
  </si>
  <si>
    <t>Polar Museum</t>
  </si>
  <si>
    <t>Red House, Aldeburgh</t>
  </si>
  <si>
    <t>Scout Association Heritage Service</t>
  </si>
  <si>
    <t>Sheringham Museum at the Mo</t>
  </si>
  <si>
    <t>Stained Glass Museum</t>
  </si>
  <si>
    <t>Cater Museum</t>
  </si>
  <si>
    <t>Centre for Computing History</t>
  </si>
  <si>
    <t>Cromwell Museum</t>
  </si>
  <si>
    <t xml:space="preserve">Dacorum Heritage Trust </t>
  </si>
  <si>
    <t>Combined Total Economic Impacts (visitor and expenditure impacts)</t>
  </si>
  <si>
    <t>Elizabethan House Museum</t>
  </si>
  <si>
    <t xml:space="preserve">Stellar training courses and workshops. We received assistance through the SHARE Museums East governance grant which kickstarted a monumental change in the museum.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</si>
</sst>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9">
    <font>
      <sz val="11"/>
      <name val="Calibri"/>
    </font>
    <font>
      <sz val="11"/>
      <name val="Calibri"/>
      <family val="2"/>
    </font>
    <font>
      <sz val="11"/>
      <name val="Calibri"/>
      <family val="2"/>
      <scheme val="minor"/>
    </font>
    <font>
      <b/>
      <sz val="11"/>
      <name val="Calibri"/>
      <family val="2"/>
    </font>
    <font>
      <b/>
      <sz val="11"/>
      <color theme="1"/>
      <name val="Calibri"/>
      <family val="2"/>
      <scheme val="minor"/>
    </font>
    <font>
      <b/>
      <sz val="12"/>
      <color theme="0"/>
      <name val="Calibri"/>
      <family val="2"/>
      <scheme val="minor"/>
    </font>
    <font>
      <b/>
      <sz val="11"/>
      <name val="Calibri"/>
      <family val="2"/>
      <scheme val="minor"/>
    </font>
    <font>
      <b/>
      <sz val="12"/>
      <name val="Calibri"/>
      <family val="2"/>
    </font>
    <font>
      <b/>
      <sz val="12"/>
      <color theme="0"/>
      <name val="Calibri"/>
      <family val="2"/>
    </font>
  </fonts>
  <fills count="12">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rgb="FF7030A0"/>
        <bgColor indexed="64"/>
      </patternFill>
    </fill>
    <fill>
      <patternFill patternType="solid">
        <fgColor theme="9"/>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rgb="FFC0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cellStyleXfs>
  <cellXfs count="97">
    <xf numFmtId="0" fontId="0" fillId="0" borderId="0" xfId="0" applyNumberFormat="1" applyFont="1"/>
    <xf numFmtId="0" fontId="0" fillId="0" borderId="0" xfId="0" applyNumberFormat="1" applyFont="1" applyAlignment="1">
      <alignment vertical="top"/>
    </xf>
    <xf numFmtId="0" fontId="3" fillId="0" borderId="0" xfId="0" applyNumberFormat="1" applyFont="1" applyAlignment="1">
      <alignment vertical="top" wrapText="1"/>
    </xf>
    <xf numFmtId="2" fontId="0" fillId="0" borderId="0" xfId="0" applyNumberFormat="1" applyFont="1" applyAlignment="1">
      <alignment vertical="top"/>
    </xf>
    <xf numFmtId="164" fontId="0" fillId="0" borderId="0" xfId="0" applyNumberFormat="1" applyFont="1" applyAlignment="1">
      <alignment vertical="top"/>
    </xf>
    <xf numFmtId="0" fontId="5" fillId="10" borderId="0" xfId="0" applyFont="1" applyFill="1" applyAlignment="1">
      <alignment horizontal="left" vertical="top" wrapText="1" shrinkToFit="1"/>
    </xf>
    <xf numFmtId="3" fontId="0" fillId="0" borderId="0" xfId="0" applyNumberFormat="1" applyFont="1" applyAlignment="1">
      <alignment vertical="top"/>
    </xf>
    <xf numFmtId="0" fontId="0" fillId="0" borderId="0" xfId="0" applyNumberFormat="1" applyFont="1" applyAlignment="1">
      <alignment vertical="top" wrapText="1"/>
    </xf>
    <xf numFmtId="0" fontId="5" fillId="11" borderId="0" xfId="0" applyFont="1" applyFill="1" applyAlignment="1">
      <alignment vertical="top"/>
    </xf>
    <xf numFmtId="3" fontId="5" fillId="11" borderId="0" xfId="0" applyNumberFormat="1" applyFont="1" applyFill="1" applyAlignment="1">
      <alignment vertical="top"/>
    </xf>
    <xf numFmtId="3" fontId="0" fillId="0" borderId="0" xfId="0" applyNumberFormat="1" applyFont="1"/>
    <xf numFmtId="3" fontId="6" fillId="2" borderId="1" xfId="0" applyNumberFormat="1" applyFont="1" applyFill="1" applyBorder="1" applyAlignment="1">
      <alignment horizontal="left" vertical="top" wrapText="1"/>
    </xf>
    <xf numFmtId="3" fontId="8" fillId="5" borderId="0" xfId="0" applyNumberFormat="1" applyFont="1" applyFill="1" applyAlignment="1">
      <alignment vertical="top"/>
    </xf>
    <xf numFmtId="0" fontId="7" fillId="5" borderId="0" xfId="0" applyNumberFormat="1" applyFont="1" applyFill="1" applyAlignment="1">
      <alignment vertical="top"/>
    </xf>
    <xf numFmtId="0" fontId="7" fillId="5" borderId="0" xfId="0" applyNumberFormat="1" applyFont="1" applyFill="1" applyAlignment="1">
      <alignment vertical="top" wrapText="1"/>
    </xf>
    <xf numFmtId="3" fontId="8" fillId="6" borderId="0" xfId="0" applyNumberFormat="1" applyFont="1" applyFill="1" applyAlignment="1">
      <alignment vertical="top"/>
    </xf>
    <xf numFmtId="0" fontId="8" fillId="6" borderId="0" xfId="0" applyNumberFormat="1" applyFont="1" applyFill="1" applyAlignment="1">
      <alignment vertical="top"/>
    </xf>
    <xf numFmtId="0" fontId="7" fillId="4" borderId="0" xfId="0" applyNumberFormat="1" applyFont="1" applyFill="1" applyAlignment="1">
      <alignment vertical="top"/>
    </xf>
    <xf numFmtId="0" fontId="8" fillId="8" borderId="0" xfId="0" applyNumberFormat="1" applyFont="1" applyFill="1" applyAlignment="1">
      <alignment vertical="top"/>
    </xf>
    <xf numFmtId="0" fontId="8" fillId="9" borderId="0" xfId="0" applyNumberFormat="1" applyFont="1" applyFill="1" applyAlignment="1">
      <alignment vertical="top"/>
    </xf>
    <xf numFmtId="0" fontId="7" fillId="3" borderId="0" xfId="0" applyNumberFormat="1" applyFont="1" applyFill="1" applyAlignment="1">
      <alignment horizontal="left" vertical="top"/>
    </xf>
    <xf numFmtId="3" fontId="7" fillId="3" borderId="0" xfId="0" applyNumberFormat="1" applyFont="1" applyFill="1" applyAlignment="1">
      <alignment horizontal="left" vertical="top"/>
    </xf>
    <xf numFmtId="0" fontId="7" fillId="3" borderId="0" xfId="0" applyNumberFormat="1" applyFont="1" applyFill="1" applyAlignment="1">
      <alignment horizontal="left" vertical="top" wrapText="1"/>
    </xf>
    <xf numFmtId="0" fontId="0" fillId="0" borderId="0" xfId="0" applyNumberFormat="1" applyFont="1" applyAlignment="1">
      <alignment horizontal="left" vertical="top" wrapText="1"/>
    </xf>
    <xf numFmtId="0" fontId="8" fillId="11" borderId="0" xfId="0" applyNumberFormat="1" applyFont="1" applyFill="1" applyAlignment="1">
      <alignment vertical="top"/>
    </xf>
    <xf numFmtId="0" fontId="3" fillId="2" borderId="1" xfId="0" applyNumberFormat="1" applyFont="1" applyFill="1" applyBorder="1" applyAlignment="1">
      <alignment horizontal="left" vertical="top" wrapText="1"/>
    </xf>
    <xf numFmtId="0" fontId="3" fillId="2" borderId="1" xfId="1" applyNumberFormat="1" applyFont="1" applyFill="1" applyBorder="1" applyAlignment="1">
      <alignment horizontal="left" vertical="top" wrapText="1"/>
    </xf>
    <xf numFmtId="3" fontId="3" fillId="2" borderId="1" xfId="0" applyNumberFormat="1" applyFont="1" applyFill="1" applyBorder="1" applyAlignment="1">
      <alignment horizontal="left" vertical="top" wrapText="1"/>
    </xf>
    <xf numFmtId="2" fontId="3" fillId="2" borderId="1" xfId="0" applyNumberFormat="1" applyFont="1" applyFill="1" applyBorder="1" applyAlignment="1">
      <alignment horizontal="left" vertical="top" wrapText="1"/>
    </xf>
    <xf numFmtId="164" fontId="3" fillId="2" borderId="1" xfId="0" applyNumberFormat="1" applyFont="1" applyFill="1" applyBorder="1" applyAlignment="1">
      <alignment horizontal="left" vertical="top" wrapText="1"/>
    </xf>
    <xf numFmtId="3" fontId="7" fillId="8" borderId="0" xfId="0" applyNumberFormat="1" applyFont="1" applyFill="1" applyAlignment="1">
      <alignment vertical="top"/>
    </xf>
    <xf numFmtId="166" fontId="3" fillId="2" borderId="1" xfId="0" applyNumberFormat="1" applyFont="1" applyFill="1" applyBorder="1" applyAlignment="1">
      <alignment horizontal="left" vertical="top" wrapText="1"/>
    </xf>
    <xf numFmtId="166" fontId="0" fillId="0" borderId="0" xfId="0" applyNumberFormat="1" applyFont="1"/>
    <xf numFmtId="1" fontId="2" fillId="0" borderId="2" xfId="0" applyNumberFormat="1" applyFont="1" applyFill="1" applyBorder="1" applyAlignment="1">
      <alignment horizontal="left" vertical="top" shrinkToFit="1"/>
    </xf>
    <xf numFmtId="1" fontId="2" fillId="0" borderId="2" xfId="1" applyNumberFormat="1" applyFont="1" applyFill="1" applyBorder="1" applyAlignment="1">
      <alignment horizontal="left" vertical="top" wrapText="1" shrinkToFit="1"/>
    </xf>
    <xf numFmtId="165" fontId="4" fillId="0" borderId="2" xfId="0" applyNumberFormat="1" applyFont="1" applyFill="1" applyBorder="1" applyAlignment="1">
      <alignment vertical="top" shrinkToFit="1"/>
    </xf>
    <xf numFmtId="1" fontId="2" fillId="0" borderId="1" xfId="0" applyNumberFormat="1" applyFont="1" applyFill="1" applyBorder="1" applyAlignment="1">
      <alignment horizontal="left" vertical="top" shrinkToFit="1"/>
    </xf>
    <xf numFmtId="1" fontId="2" fillId="0" borderId="1" xfId="1" applyNumberFormat="1" applyFont="1" applyFill="1" applyBorder="1" applyAlignment="1">
      <alignment horizontal="left" vertical="top" wrapText="1" shrinkToFit="1"/>
    </xf>
    <xf numFmtId="165" fontId="4" fillId="0" borderId="1" xfId="0" applyNumberFormat="1" applyFont="1" applyFill="1" applyBorder="1" applyAlignment="1">
      <alignment vertical="top" shrinkToFit="1"/>
    </xf>
    <xf numFmtId="0" fontId="1" fillId="0" borderId="1" xfId="1" applyNumberFormat="1" applyFont="1" applyFill="1" applyBorder="1" applyAlignment="1">
      <alignment horizontal="left" vertical="top" wrapText="1" shrinkToFit="1"/>
    </xf>
    <xf numFmtId="166" fontId="7" fillId="8" borderId="0" xfId="0" applyNumberFormat="1" applyFont="1" applyFill="1" applyAlignment="1">
      <alignment vertical="top"/>
    </xf>
    <xf numFmtId="166" fontId="0" fillId="0" borderId="0" xfId="0" applyNumberFormat="1" applyFont="1" applyAlignment="1">
      <alignment vertical="top"/>
    </xf>
    <xf numFmtId="0" fontId="1" fillId="0" borderId="0" xfId="0" applyNumberFormat="1" applyFont="1"/>
    <xf numFmtId="165" fontId="1" fillId="0" borderId="2" xfId="0" applyNumberFormat="1" applyFont="1" applyFill="1" applyBorder="1" applyAlignment="1">
      <alignment vertical="top" shrinkToFit="1"/>
    </xf>
    <xf numFmtId="166" fontId="0" fillId="0" borderId="2" xfId="0" applyNumberFormat="1" applyFont="1" applyFill="1" applyBorder="1" applyAlignment="1">
      <alignment vertical="top" shrinkToFit="1"/>
    </xf>
    <xf numFmtId="165" fontId="1" fillId="0" borderId="1" xfId="0" applyNumberFormat="1" applyFont="1" applyFill="1" applyBorder="1" applyAlignment="1">
      <alignment vertical="top" shrinkToFit="1"/>
    </xf>
    <xf numFmtId="166" fontId="0" fillId="0" borderId="1" xfId="0" applyNumberFormat="1" applyFont="1" applyFill="1" applyBorder="1" applyAlignment="1">
      <alignment vertical="top" shrinkToFit="1"/>
    </xf>
    <xf numFmtId="0" fontId="3" fillId="0" borderId="2" xfId="0" applyNumberFormat="1" applyFont="1" applyFill="1" applyBorder="1" applyAlignment="1">
      <alignment vertical="top" wrapText="1" shrinkToFit="1"/>
    </xf>
    <xf numFmtId="0" fontId="0" fillId="0" borderId="2" xfId="0" applyNumberFormat="1" applyFont="1" applyFill="1" applyBorder="1" applyAlignment="1">
      <alignment vertical="top" wrapText="1" shrinkToFit="1"/>
    </xf>
    <xf numFmtId="0" fontId="0" fillId="0" borderId="2" xfId="0" applyNumberFormat="1" applyFont="1" applyFill="1" applyBorder="1" applyAlignment="1">
      <alignment vertical="top" shrinkToFit="1"/>
    </xf>
    <xf numFmtId="3" fontId="0" fillId="0" borderId="2" xfId="0" applyNumberFormat="1" applyFont="1" applyFill="1" applyBorder="1" applyAlignment="1">
      <alignment vertical="top" shrinkToFit="1"/>
    </xf>
    <xf numFmtId="1" fontId="0" fillId="0" borderId="2" xfId="0" applyNumberFormat="1" applyFont="1" applyFill="1" applyBorder="1" applyAlignment="1">
      <alignment vertical="top" shrinkToFit="1"/>
    </xf>
    <xf numFmtId="164" fontId="0" fillId="0" borderId="2" xfId="0" applyNumberFormat="1" applyFont="1" applyFill="1" applyBorder="1" applyAlignment="1">
      <alignment vertical="top" shrinkToFit="1"/>
    </xf>
    <xf numFmtId="0" fontId="1" fillId="0" borderId="2" xfId="0" applyNumberFormat="1" applyFont="1" applyFill="1" applyBorder="1" applyAlignment="1">
      <alignment vertical="top" wrapText="1" shrinkToFit="1"/>
    </xf>
    <xf numFmtId="0" fontId="0" fillId="0" borderId="0" xfId="0" applyNumberFormat="1" applyFont="1" applyFill="1"/>
    <xf numFmtId="0" fontId="3" fillId="0" borderId="1" xfId="0" applyNumberFormat="1" applyFont="1" applyFill="1" applyBorder="1" applyAlignment="1">
      <alignment vertical="top" wrapText="1" shrinkToFit="1"/>
    </xf>
    <xf numFmtId="0" fontId="0" fillId="0" borderId="1" xfId="0" applyNumberFormat="1" applyFont="1" applyFill="1" applyBorder="1" applyAlignment="1">
      <alignment vertical="top" wrapText="1" shrinkToFit="1"/>
    </xf>
    <xf numFmtId="0" fontId="0" fillId="0" borderId="1" xfId="0" applyNumberFormat="1" applyFont="1" applyFill="1" applyBorder="1" applyAlignment="1">
      <alignment vertical="top" shrinkToFit="1"/>
    </xf>
    <xf numFmtId="3" fontId="0" fillId="0" borderId="1" xfId="0" applyNumberFormat="1" applyFont="1" applyFill="1" applyBorder="1" applyAlignment="1">
      <alignment vertical="top" shrinkToFit="1"/>
    </xf>
    <xf numFmtId="1" fontId="0" fillId="0" borderId="1" xfId="0" applyNumberFormat="1" applyFont="1" applyFill="1" applyBorder="1" applyAlignment="1">
      <alignment vertical="top" shrinkToFit="1"/>
    </xf>
    <xf numFmtId="164" fontId="0" fillId="0" borderId="1" xfId="0" applyNumberFormat="1" applyFont="1" applyFill="1" applyBorder="1" applyAlignment="1">
      <alignment vertical="top" shrinkToFit="1"/>
    </xf>
    <xf numFmtId="0" fontId="1" fillId="0" borderId="1" xfId="0" applyNumberFormat="1" applyFont="1" applyFill="1" applyBorder="1" applyAlignment="1">
      <alignment vertical="top" wrapText="1" shrinkToFit="1"/>
    </xf>
    <xf numFmtId="0" fontId="1" fillId="0" borderId="1" xfId="0" applyNumberFormat="1" applyFont="1" applyFill="1" applyBorder="1" applyAlignment="1">
      <alignment horizontal="left" vertical="top" shrinkToFit="1"/>
    </xf>
    <xf numFmtId="166" fontId="0" fillId="0" borderId="1" xfId="0" applyNumberFormat="1" applyFont="1" applyFill="1" applyBorder="1" applyAlignment="1">
      <alignment horizontal="right" vertical="top" shrinkToFit="1"/>
    </xf>
    <xf numFmtId="0" fontId="0" fillId="0" borderId="1" xfId="0" applyNumberFormat="1" applyFont="1" applyFill="1" applyBorder="1" applyAlignment="1">
      <alignment horizontal="left" vertical="top" shrinkToFit="1"/>
    </xf>
    <xf numFmtId="0" fontId="0" fillId="0" borderId="0" xfId="0" applyNumberFormat="1" applyFont="1" applyAlignment="1">
      <alignment wrapText="1"/>
    </xf>
    <xf numFmtId="164" fontId="0" fillId="0" borderId="0" xfId="0" applyNumberFormat="1" applyFont="1" applyAlignment="1">
      <alignment vertical="top" wrapText="1"/>
    </xf>
    <xf numFmtId="0" fontId="3" fillId="0" borderId="0" xfId="0" applyNumberFormat="1" applyFont="1" applyAlignment="1" applyProtection="1">
      <alignment vertical="top" wrapText="1"/>
      <protection locked="0" hidden="1"/>
    </xf>
    <xf numFmtId="0" fontId="0" fillId="0" borderId="0" xfId="0" applyNumberFormat="1" applyFont="1" applyAlignment="1" applyProtection="1">
      <alignment vertical="top" wrapText="1"/>
      <protection locked="0" hidden="1"/>
    </xf>
    <xf numFmtId="0" fontId="0" fillId="0" borderId="0" xfId="0" applyNumberFormat="1" applyFont="1" applyAlignment="1" applyProtection="1">
      <alignment vertical="top"/>
      <protection locked="0" hidden="1"/>
    </xf>
    <xf numFmtId="0" fontId="0" fillId="0" borderId="0" xfId="0" applyNumberFormat="1" applyFont="1" applyAlignment="1" applyProtection="1">
      <alignment horizontal="left" vertical="top" wrapText="1"/>
      <protection locked="0" hidden="1"/>
    </xf>
    <xf numFmtId="3" fontId="0" fillId="0" borderId="0" xfId="0" applyNumberFormat="1" applyFont="1" applyAlignment="1" applyProtection="1">
      <alignment vertical="top"/>
      <protection locked="0" hidden="1"/>
    </xf>
    <xf numFmtId="0" fontId="0" fillId="0" borderId="0" xfId="0" applyNumberFormat="1" applyFont="1" applyProtection="1">
      <protection locked="0" hidden="1"/>
    </xf>
    <xf numFmtId="3" fontId="0" fillId="0" borderId="0" xfId="0" applyNumberFormat="1" applyFont="1" applyProtection="1">
      <protection locked="0" hidden="1"/>
    </xf>
    <xf numFmtId="2" fontId="0" fillId="0" borderId="0" xfId="0" applyNumberFormat="1" applyFont="1" applyAlignment="1" applyProtection="1">
      <alignment vertical="top"/>
      <protection locked="0" hidden="1"/>
    </xf>
    <xf numFmtId="164" fontId="0" fillId="0" borderId="0" xfId="0" applyNumberFormat="1" applyFont="1" applyAlignment="1" applyProtection="1">
      <alignment vertical="top"/>
      <protection locked="0" hidden="1"/>
    </xf>
    <xf numFmtId="164" fontId="0" fillId="0" borderId="0" xfId="0" applyNumberFormat="1" applyFont="1" applyAlignment="1" applyProtection="1">
      <alignment vertical="top" wrapText="1"/>
      <protection locked="0" hidden="1"/>
    </xf>
    <xf numFmtId="166" fontId="0" fillId="0" borderId="0" xfId="0" applyNumberFormat="1" applyFont="1" applyAlignment="1" applyProtection="1">
      <alignment vertical="top"/>
      <protection locked="0" hidden="1"/>
    </xf>
    <xf numFmtId="0" fontId="1" fillId="0" borderId="0" xfId="0" applyNumberFormat="1" applyFont="1" applyProtection="1">
      <protection locked="0" hidden="1"/>
    </xf>
    <xf numFmtId="3" fontId="7" fillId="8" borderId="0" xfId="0" applyNumberFormat="1" applyFont="1" applyFill="1" applyAlignment="1">
      <alignment vertical="top" wrapText="1"/>
    </xf>
    <xf numFmtId="3" fontId="0" fillId="0" borderId="2" xfId="0" applyNumberFormat="1" applyFont="1" applyFill="1" applyBorder="1" applyAlignment="1">
      <alignment vertical="top" wrapText="1" shrinkToFit="1"/>
    </xf>
    <xf numFmtId="3" fontId="0" fillId="0" borderId="1" xfId="0" applyNumberFormat="1" applyFont="1" applyFill="1" applyBorder="1" applyAlignment="1">
      <alignment vertical="top" wrapText="1" shrinkToFit="1"/>
    </xf>
    <xf numFmtId="3" fontId="0" fillId="0" borderId="1" xfId="0" applyNumberFormat="1" applyFont="1" applyFill="1" applyBorder="1" applyAlignment="1">
      <alignment horizontal="right" vertical="top" wrapText="1" shrinkToFit="1"/>
    </xf>
    <xf numFmtId="2" fontId="0" fillId="0" borderId="0" xfId="0" applyNumberFormat="1" applyFont="1" applyAlignment="1">
      <alignment vertical="top" wrapText="1"/>
    </xf>
    <xf numFmtId="2" fontId="0" fillId="0" borderId="0" xfId="0" applyNumberFormat="1" applyFont="1" applyAlignment="1" applyProtection="1">
      <alignment vertical="top" wrapText="1"/>
      <protection locked="0" hidden="1"/>
    </xf>
    <xf numFmtId="165" fontId="3" fillId="0" borderId="2" xfId="0" applyNumberFormat="1" applyFont="1" applyFill="1" applyBorder="1" applyAlignment="1">
      <alignment vertical="top" shrinkToFit="1"/>
    </xf>
    <xf numFmtId="165" fontId="3" fillId="0" borderId="1" xfId="0" applyNumberFormat="1" applyFont="1" applyFill="1" applyBorder="1" applyAlignment="1">
      <alignment vertical="top" shrinkToFit="1"/>
    </xf>
    <xf numFmtId="0" fontId="3" fillId="0" borderId="0" xfId="0" applyNumberFormat="1" applyFont="1"/>
    <xf numFmtId="0" fontId="3" fillId="0" borderId="0" xfId="0" applyNumberFormat="1" applyFont="1" applyProtection="1">
      <protection locked="0" hidden="1"/>
    </xf>
    <xf numFmtId="166" fontId="3" fillId="0" borderId="2" xfId="0" applyNumberFormat="1" applyFont="1" applyFill="1" applyBorder="1" applyAlignment="1">
      <alignment vertical="top" shrinkToFit="1"/>
    </xf>
    <xf numFmtId="166" fontId="3" fillId="0" borderId="1" xfId="0" applyNumberFormat="1" applyFont="1" applyFill="1" applyBorder="1" applyAlignment="1">
      <alignment vertical="top" shrinkToFit="1"/>
    </xf>
    <xf numFmtId="166" fontId="3" fillId="0" borderId="1" xfId="0" applyNumberFormat="1" applyFont="1" applyFill="1" applyBorder="1" applyAlignment="1">
      <alignment horizontal="right" vertical="top" shrinkToFit="1"/>
    </xf>
    <xf numFmtId="166" fontId="3" fillId="0" borderId="0" xfId="0" applyNumberFormat="1" applyFont="1"/>
    <xf numFmtId="166" fontId="3" fillId="0" borderId="0" xfId="0" applyNumberFormat="1" applyFont="1" applyAlignment="1">
      <alignment vertical="top"/>
    </xf>
    <xf numFmtId="166" fontId="3" fillId="0" borderId="0" xfId="0" applyNumberFormat="1" applyFont="1" applyAlignment="1" applyProtection="1">
      <alignment vertical="top"/>
      <protection locked="0" hidden="1"/>
    </xf>
    <xf numFmtId="0" fontId="8" fillId="7" borderId="3" xfId="0" applyNumberFormat="1" applyFont="1" applyFill="1" applyBorder="1" applyAlignment="1">
      <alignment vertical="top" wrapText="1"/>
    </xf>
    <xf numFmtId="0" fontId="0" fillId="0" borderId="3" xfId="0" applyNumberFormat="1" applyFont="1" applyBorder="1" applyAlignment="1">
      <alignment vertical="top" wrapText="1"/>
    </xf>
  </cellXfs>
  <cellStyles count="2">
    <cellStyle name="Normal" xfId="0" builtinId="0"/>
    <cellStyle name="Normal 2" xfId="1" xr:uid="{00000000-0005-0000-0000-000001000000}"/>
  </cellStyles>
  <dxfs count="70">
    <dxf>
      <numFmt numFmtId="0" formatCode="General"/>
      <fill>
        <patternFill patternType="none">
          <fgColor indexed="64"/>
          <bgColor indexed="65"/>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horizontal/>
      </border>
    </dxf>
    <dxf>
      <numFmt numFmtId="0" formatCode="General"/>
      <fill>
        <patternFill patternType="none">
          <fgColor indexed="64"/>
          <bgColor indexed="65"/>
        </patternFill>
      </fill>
      <alignment horizontal="general" vertical="top" textRotation="0" wrapText="0" indent="0" justifyLastLine="0" shrinkToFit="1" readingOrder="0"/>
      <border diagonalUp="0" diagonalDown="0">
        <left style="thin">
          <color auto="1"/>
        </left>
        <right style="thin">
          <color auto="1"/>
        </right>
        <top style="thin">
          <color auto="1"/>
        </top>
        <bottom style="thin">
          <color auto="1"/>
        </bottom>
        <vertical/>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none"/>
      </font>
      <numFmt numFmtId="166" formatCode="#,##0.0"/>
    </dxf>
    <dxf>
      <numFmt numFmtId="166" formatCode="#,##0.0"/>
    </dxf>
    <dxf>
      <font>
        <b/>
        <i val="0"/>
        <strike val="0"/>
        <condense val="0"/>
        <extend val="0"/>
        <outline val="0"/>
        <shadow val="0"/>
        <u val="none"/>
        <vertAlign val="baseline"/>
        <sz val="11"/>
        <color auto="1"/>
        <name val="Calibri"/>
        <family val="2"/>
        <scheme val="none"/>
      </font>
      <numFmt numFmtId="0" formatCode="General"/>
    </dxf>
    <dxf>
      <font>
        <b val="0"/>
        <i val="0"/>
        <strike val="0"/>
        <condense val="0"/>
        <extend val="0"/>
        <outline val="0"/>
        <shadow val="0"/>
        <u val="none"/>
        <vertAlign val="baseline"/>
        <sz val="11"/>
        <color auto="1"/>
        <name val="Calibri"/>
        <family val="2"/>
        <scheme val="none"/>
      </font>
      <numFmt numFmtId="0" formatCode="General"/>
    </dxf>
    <dxf>
      <font>
        <b val="0"/>
        <i val="0"/>
        <strike val="0"/>
        <condense val="0"/>
        <extend val="0"/>
        <outline val="0"/>
        <shadow val="0"/>
        <u val="none"/>
        <vertAlign val="baseline"/>
        <sz val="11"/>
        <color auto="1"/>
        <name val="Calibri"/>
        <family val="2"/>
        <scheme val="none"/>
      </font>
      <numFmt numFmtId="0" formatCode="General"/>
    </dxf>
    <dxf>
      <font>
        <b val="0"/>
        <family val="2"/>
      </font>
      <numFmt numFmtId="165" formatCode="&quot;£&quot;#,##0"/>
      <fill>
        <patternFill patternType="solid">
          <fgColor indexed="64"/>
          <bgColor theme="2"/>
        </patternFill>
      </fill>
      <alignment horizontal="general" vertical="top" textRotation="0" wrapText="0" indent="0" justifyLastLine="0" shrinkToFit="0" readingOrder="0"/>
      <border diagonalUp="0" diagonalDown="0" outline="0">
        <left style="thin">
          <color auto="1"/>
        </left>
        <right/>
        <top style="thin">
          <color auto="1"/>
        </top>
        <bottom style="thin">
          <color auto="1"/>
        </bottom>
      </border>
    </dxf>
    <dxf>
      <alignment vertical="top" textRotation="0" indent="0" justifyLastLine="0" shrinkToFit="0" readingOrder="0"/>
      <border diagonalUp="0" diagonalDown="0" outline="0">
        <left style="thin">
          <color indexed="64"/>
        </left>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0.0"/>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none"/>
      </font>
      <numFmt numFmtId="165" formatCode="&quot;£&quot;#,##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readingOrder="0"/>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border>
        <bottom style="thin">
          <color indexed="64"/>
        </bottom>
      </border>
    </dxf>
    <dxf>
      <font>
        <b/>
      </font>
      <fill>
        <patternFill>
          <fgColor indexed="64"/>
          <bgColor rgb="FF00B0F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O137" headerRowDxfId="69" dataDxfId="67" totalsRowDxfId="66" headerRowBorderDxfId="68">
  <autoFilter ref="A2:BO137" xr:uid="{00000000-0009-0000-0100-000001000000}"/>
  <tableColumns count="67">
    <tableColumn id="9" xr3:uid="{00000000-0010-0000-0000-000009000000}" name="Museum name" dataDxfId="65"/>
    <tableColumn id="15" xr3:uid="{00000000-0010-0000-0000-00000F000000}" name="Q2. Museum type" dataDxfId="64"/>
    <tableColumn id="10" xr3:uid="{00000000-0010-0000-0000-00000A000000}" name="County" dataDxfId="63"/>
    <tableColumn id="8" xr3:uid="{00000000-0010-0000-0000-000008000000}" name="Museum size" dataDxfId="62"/>
    <tableColumn id="16" xr3:uid="{00000000-0010-0000-0000-000010000000}" name="Q3.1. Open all year" dataDxfId="1"/>
    <tableColumn id="17" xr3:uid="{00000000-0010-0000-0000-000011000000}" name="Q3.2. Closed for part of the year - regular seasonal closure" dataDxfId="0"/>
    <tableColumn id="18" xr3:uid="{00000000-0010-0000-0000-000012000000}" name="Q3.3. Closed for part of the year other - e.g. refurbishment / repairs" dataDxfId="61"/>
    <tableColumn id="19" xr3:uid="{00000000-0010-0000-0000-000013000000}" name="Q3.4. Open by appointment only - part of the year" dataDxfId="60"/>
    <tableColumn id="20" xr3:uid="{00000000-0010-0000-0000-000014000000}" name="Q3.5. Open by appointment only - all year" dataDxfId="59"/>
    <tableColumn id="21" xr3:uid="{00000000-0010-0000-0000-000015000000}" name="Q3.6. Closed all of the year - e.g. redevelopment" dataDxfId="58"/>
    <tableColumn id="22" xr3:uid="{00000000-0010-0000-0000-000016000000}" name="Q4. How many hours was your museum open to the public in 2017-18?" dataDxfId="57"/>
    <tableColumn id="23" xr3:uid="{00000000-0010-0000-0000-000017000000}" name="Q5.Total number of visits in person in 2017-18" dataDxfId="56"/>
    <tableColumn id="24" xr3:uid="{00000000-0010-0000-0000-000018000000}" name="Q6. Is this is an actual or an estimate?" dataDxfId="55"/>
    <tableColumn id="25" xr3:uid="{00000000-0010-0000-0000-000019000000}" name="Q7. Total number of visits by adults (16 or above)" dataDxfId="54"/>
    <tableColumn id="26" xr3:uid="{00000000-0010-0000-0000-00001A000000}" name="Q8. Is this is an actual or an estimate?" dataDxfId="53"/>
    <tableColumn id="7" xr3:uid="{00000000-0010-0000-0000-000007000000}" name="Adult adjusted visits (for calculating economic impact of visits)">
      <calculatedColumnFormula>L3/100*75</calculatedColumnFormula>
    </tableColumn>
    <tableColumn id="27" xr3:uid="{00000000-0010-0000-0000-00001B000000}" name="Q9. Total number of visits by children (under 16s)" dataDxfId="52"/>
    <tableColumn id="28" xr3:uid="{00000000-0010-0000-0000-00001C000000}" name="Q10. Is this is an actual or an estimate?" dataDxfId="51"/>
    <tableColumn id="29" xr3:uid="{00000000-0010-0000-0000-00001D000000}" name="Q11. Is there a reason for any significant change from the previous year (e.g. closed for redevelopment, major exhibition)?" dataDxfId="50"/>
    <tableColumn id="30" xr3:uid="{00000000-0010-0000-0000-00001E000000}" name="Q12. Does your museum have its own website over which it has editorial control?" dataDxfId="49"/>
    <tableColumn id="31" xr3:uid="{00000000-0010-0000-0000-00001F000000}" name="Q13. What was the total number of unique visitors to your website?" dataDxfId="48"/>
    <tableColumn id="32" xr3:uid="{00000000-0010-0000-0000-000020000000}" name="Q14. Does your museum use social media to engage with audiences?" dataDxfId="47"/>
    <tableColumn id="33" xr3:uid="{00000000-0010-0000-0000-000021000000}" name="Q15. If yes, how many subscribers does the museum have to its social media platforms (inc Twitter, Facebook, Instagram, YouTube etc.)" dataDxfId="46"/>
    <tableColumn id="34" xr3:uid="{00000000-0010-0000-0000-000022000000}" name="Q16.1. How many education sessions did your museum deliver on-site? (With formal education providers)" dataDxfId="45"/>
    <tableColumn id="35" xr3:uid="{00000000-0010-0000-0000-000023000000}" name="Q16.2. Total number of participants" dataDxfId="44"/>
    <tableColumn id="36" xr3:uid="{00000000-0010-0000-0000-000024000000}" name="Q17. Is this is an actual or an estimate?" dataDxfId="43"/>
    <tableColumn id="37" xr3:uid="{00000000-0010-0000-0000-000025000000}" name="Q18.1. How many education sessions did your museum deliver off-site with formal education providers? (Include all sessions even those delivered without museum staff e.g. loan boxes)" dataDxfId="42"/>
    <tableColumn id="38" xr3:uid="{00000000-0010-0000-0000-000026000000}" name="Q18.2. Total number of participants" dataDxfId="41"/>
    <tableColumn id="39" xr3:uid="{00000000-0010-0000-0000-000027000000}" name="Q19. What was the total number of different schools and formal learning organisations engaged?" dataDxfId="40"/>
    <tableColumn id="40" xr3:uid="{00000000-0010-0000-0000-000028000000}" name="Q20. Is this an actual or an estimate?" dataDxfId="39"/>
    <tableColumn id="41" xr3:uid="{00000000-0010-0000-0000-000029000000}" name="Q21.1. How many other sessions and events did your museum deliver on-site? (With non-education providers e.g. Brownies, arts organisations, self-led such as research work. It can include any workshops, seminars, talks,  lectures and research sessions" dataDxfId="38"/>
    <tableColumn id="42" xr3:uid="{00000000-0010-0000-0000-00002A000000}" name="Q21.2. Total number of participants" dataDxfId="37"/>
    <tableColumn id="43" xr3:uid="{00000000-0010-0000-0000-00002B000000}" name="Q22. Is this is an actual or an estimate?" dataDxfId="36"/>
    <tableColumn id="44" xr3:uid="{00000000-0010-0000-0000-00002C000000}" name="Q23.1. How many other activities and outreach events did your museum deliver off-site? (With non-education providers e.g. the Brownies/a local Arts Organisation. It can include any workshops, seminars, talks, lectures etc)" dataDxfId="35"/>
    <tableColumn id="45" xr3:uid="{00000000-0010-0000-0000-00002D000000}" name="Q23.2. Total number of participants" dataDxfId="34"/>
    <tableColumn id="46" xr3:uid="{00000000-0010-0000-0000-00002E000000}" name="Q24. Is this is an actual or an estimate?" dataDxfId="33"/>
    <tableColumn id="48" xr3:uid="{00000000-0010-0000-0000-000030000000}" name="Q26. Does your museum charge for admission?" dataDxfId="32"/>
    <tableColumn id="49" xr3:uid="{00000000-0010-0000-0000-000031000000}" name="Q27.1. Adult entrance fee" dataDxfId="31"/>
    <tableColumn id="50" xr3:uid="{00000000-0010-0000-0000-000032000000}" name="Q27.2. Child entrance fee" dataDxfId="30"/>
    <tableColumn id="53" xr3:uid="{00000000-0010-0000-0000-000035000000}" name="Q29. Does your museum have a shop/retail outlet?" dataDxfId="29"/>
    <tableColumn id="56" xr3:uid="{00000000-0010-0000-0000-000038000000}" name="Q32. Does your museum have in-house café / refreshments?" dataDxfId="28"/>
    <tableColumn id="59" xr3:uid="{00000000-0010-0000-0000-00003B000000}" name="Q35. Does your museum have contracted out café / refreshments?" dataDxfId="27"/>
    <tableColumn id="73" xr3:uid="{00000000-0010-0000-0000-000049000000}" name="Q42.1. Has the museum received funding from Arts Council England?" dataDxfId="26"/>
    <tableColumn id="74" xr3:uid="{00000000-0010-0000-0000-00004A000000}" name="Q42.2. Has the museum received funding from HLF?" dataDxfId="25"/>
    <tableColumn id="75" xr3:uid="{00000000-0010-0000-0000-00004B000000}" name="Q42.3. Has the museum received funding from Charitable Trusts &amp; Foundations (e.g. Pilgrim Trust)?" dataDxfId="24"/>
    <tableColumn id="76" xr3:uid="{00000000-0010-0000-0000-00004C000000}" name="Q42.4. Has the museum received funding from other charitable giving (e.g. donations, Friends)?" dataDxfId="23"/>
    <tableColumn id="77" xr3:uid="{00000000-0010-0000-0000-00004D000000}" name="Q42.5. Has the museum received local government grants (non-core funding)?" dataDxfId="22"/>
    <tableColumn id="78" xr3:uid="{00000000-0010-0000-0000-00004E000000}" name="Q42.6. Has the museum received any corporate sponsorship (cash donations)?" dataDxfId="21"/>
    <tableColumn id="79" xr3:uid="{00000000-0010-0000-0000-00004F000000}" name="Q42.7. Does the museum claim Gift Aid?" dataDxfId="20"/>
    <tableColumn id="80" xr3:uid="{00000000-0010-0000-0000-000050000000}" name="Q42.8. Any other sources of funding (please specify)?" dataDxfId="19"/>
    <tableColumn id="81" xr3:uid="{00000000-0010-0000-0000-000051000000}" name="Q43. In the last twelve months, has your museum raised funds via online giving / crowdfunding? (e.g. Just Giving, Local Giving, Virgin Money Giving, Kickstarter, Indiegogo, Art Happens)" dataDxfId="18"/>
    <tableColumn id="82" xr3:uid="{00000000-0010-0000-0000-000052000000}" name="Q44. Number of volunteers at the museum, including Trustees" dataDxfId="17"/>
    <tableColumn id="83" xr3:uid="{00000000-0010-0000-0000-000053000000}" name="Q45. Is the number of volunteers an actual or an estimate?" dataDxfId="16"/>
    <tableColumn id="84" xr3:uid="{00000000-0010-0000-0000-000054000000}" name="Q46. How many hours did volunteers contribute in 2017-18?" dataDxfId="15"/>
    <tableColumn id="85" xr3:uid="{00000000-0010-0000-0000-000055000000}" name="Q47. Is this figure an actual or an estimate?" dataDxfId="14"/>
    <tableColumn id="3" xr3:uid="{0B7E084C-C9E7-4301-8B99-E9CE3884FFBF}" name="Value of volunteer hours" dataDxfId="13">
      <calculatedColumnFormula>BB3/7*50</calculatedColumnFormula>
    </tableColumn>
    <tableColumn id="86" xr3:uid="{00000000-0010-0000-0000-000056000000}" name="Q50. How many Full-Time Equivalent paid staff does the museum employ?" dataDxfId="12"/>
    <tableColumn id="87" xr3:uid="{00000000-0010-0000-0000-000057000000}" name="Q49. Is this is an actual or an estimate?" dataDxfId="11"/>
    <tableColumn id="90" xr3:uid="{00000000-0010-0000-0000-00005A000000}" name="Q52. Does your museum have an Equality and Diversity Action Plan?" dataDxfId="10"/>
    <tableColumn id="12" xr3:uid="{3D533539-A035-4029-A9DC-6739EF33FE86}" name="Local Visitor Impact 2017-18" dataDxfId="9"/>
    <tableColumn id="2" xr3:uid="{00000000-0010-0000-0000-000002000000}" name="Day Visitor Impact 2017-18" dataDxfId="8"/>
    <tableColumn id="13" xr3:uid="{397DA4F8-F459-42AE-AEE5-56EA944CF930}" name="Direct, indirect and induced economic impact of expenditure" dataDxfId="7"/>
    <tableColumn id="47" xr3:uid="{74017627-101E-4EB8-AA07-4E07109167E9}" name="Combined Total Economic Impacts (visitor and expenditure impacts)" dataDxfId="6">
      <calculatedColumnFormula>BH3+BI3+BJ3</calculatedColumnFormula>
    </tableColumn>
    <tableColumn id="14" xr3:uid="{FBAD83F7-9BD6-4337-A895-70306D5D496A}" name="AIM induced employment impact calculation (FTE posts)" dataDxfId="5"/>
    <tableColumn id="1" xr3:uid="{00000000-0010-0000-0000-000001000000}" name="Combined Total AIM Employment Impacts 2017-18 (direct and induced employment)" dataDxfId="4">
      <calculatedColumnFormula>SUBTOTAL(9,#REF!,BI3)</calculatedColumnFormula>
    </tableColumn>
    <tableColumn id="91" xr3:uid="{00000000-0010-0000-0000-00005B000000}" name="Q53. If you have received support or advice from the SHARE Museums East programme this year, then please say a few words about how you found this experience and what you plan to do next." dataDxfId="3"/>
    <tableColumn id="92" xr3:uid="{00000000-0010-0000-0000-00005C000000}" name="Q54. If your museum would like to draw attention to any positive work or news that it has been involved with in the last twelve months, then please use the box below to tell us what this is."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38"/>
  <sheetViews>
    <sheetView tabSelected="1"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RowHeight="15"/>
  <cols>
    <col min="1" max="1" width="19.42578125" style="67" customWidth="1"/>
    <col min="2" max="2" width="12.7109375" style="68" customWidth="1"/>
    <col min="3" max="3" width="15.140625" style="69" bestFit="1" customWidth="1"/>
    <col min="4" max="4" width="10.85546875" style="70" customWidth="1"/>
    <col min="5" max="7" width="14.140625" style="69" customWidth="1"/>
    <col min="8" max="9" width="13.7109375" style="69" customWidth="1"/>
    <col min="10" max="10" width="15.28515625" style="69" customWidth="1"/>
    <col min="11" max="11" width="15.85546875" style="71" customWidth="1"/>
    <col min="12" max="12" width="14.85546875" style="71" customWidth="1"/>
    <col min="13" max="13" width="10.7109375" style="69" customWidth="1"/>
    <col min="14" max="14" width="12.5703125" style="71" customWidth="1"/>
    <col min="15" max="15" width="10.7109375" style="69" customWidth="1"/>
    <col min="16" max="17" width="12.5703125" style="71" customWidth="1"/>
    <col min="18" max="18" width="10.7109375" style="69" customWidth="1"/>
    <col min="19" max="19" width="42.7109375" style="68" customWidth="1"/>
    <col min="20" max="20" width="12.85546875" style="68" customWidth="1"/>
    <col min="21" max="21" width="14" style="72" customWidth="1"/>
    <col min="22" max="22" width="12.85546875" style="73" customWidth="1"/>
    <col min="23" max="23" width="25.85546875" style="72" customWidth="1"/>
    <col min="24" max="24" width="15" style="73" customWidth="1"/>
    <col min="25" max="25" width="12.140625" style="73" customWidth="1"/>
    <col min="26" max="26" width="12.7109375" style="71" customWidth="1"/>
    <col min="27" max="27" width="26" style="73" customWidth="1"/>
    <col min="28" max="28" width="12.140625" style="73" customWidth="1"/>
    <col min="29" max="29" width="15.5703125" style="73" customWidth="1"/>
    <col min="30" max="30" width="12.7109375" style="71" customWidth="1"/>
    <col min="31" max="31" width="26" style="73" customWidth="1"/>
    <col min="32" max="32" width="12.140625" style="73" customWidth="1"/>
    <col min="33" max="33" width="11.85546875" style="71" customWidth="1"/>
    <col min="34" max="34" width="26" style="73" customWidth="1"/>
    <col min="35" max="35" width="12.140625" style="73" customWidth="1"/>
    <col min="36" max="36" width="12.7109375" style="69" customWidth="1"/>
    <col min="37" max="37" width="10.7109375" style="74" customWidth="1"/>
    <col min="38" max="38" width="12.42578125" style="68" customWidth="1"/>
    <col min="39" max="39" width="12.140625" style="69" customWidth="1"/>
    <col min="40" max="40" width="12.5703125" style="69" customWidth="1"/>
    <col min="41" max="41" width="13.85546875" style="75" customWidth="1"/>
    <col min="42" max="42" width="14.140625" style="75" customWidth="1"/>
    <col min="43" max="43" width="14.140625" style="76" customWidth="1"/>
    <col min="44" max="49" width="13.7109375" style="68" customWidth="1"/>
    <col min="50" max="50" width="18" style="68" customWidth="1"/>
    <col min="51" max="51" width="23.140625" style="68" customWidth="1"/>
    <col min="52" max="52" width="15.5703125" style="68" customWidth="1"/>
    <col min="53" max="53" width="14.7109375" style="71" customWidth="1"/>
    <col min="54" max="54" width="10.7109375" style="84" customWidth="1"/>
    <col min="55" max="55" width="12.140625" style="71" customWidth="1"/>
    <col min="56" max="56" width="12" style="74" customWidth="1"/>
    <col min="57" max="57" width="14.42578125" style="77" customWidth="1"/>
    <col min="58" max="58" width="14.7109375" style="71" customWidth="1"/>
    <col min="59" max="59" width="14.5703125" style="74" customWidth="1"/>
    <col min="60" max="62" width="14.7109375" style="78" customWidth="1"/>
    <col min="63" max="63" width="17.140625" style="88" customWidth="1"/>
    <col min="64" max="64" width="12.85546875" style="77" bestFit="1" customWidth="1"/>
    <col min="65" max="65" width="12.85546875" style="94" bestFit="1" customWidth="1"/>
    <col min="66" max="67" width="66.7109375" style="69" customWidth="1"/>
    <col min="68" max="69" width="50.7109375" style="72" customWidth="1"/>
    <col min="70" max="70" width="40.7109375" style="72" customWidth="1"/>
    <col min="71" max="71" width="69.5703125" style="72" customWidth="1"/>
    <col min="72" max="72" width="84.7109375" style="72" customWidth="1"/>
    <col min="73" max="16384" width="9.140625" style="72"/>
  </cols>
  <sheetData>
    <row r="1" spans="1:67" customFormat="1" ht="22.5" customHeight="1">
      <c r="A1" s="22" t="s">
        <v>379</v>
      </c>
      <c r="B1" s="22"/>
      <c r="C1" s="20"/>
      <c r="D1" s="22"/>
      <c r="E1" s="20"/>
      <c r="F1" s="20"/>
      <c r="G1" s="20"/>
      <c r="H1" s="20"/>
      <c r="I1" s="20"/>
      <c r="J1" s="20"/>
      <c r="K1" s="21"/>
      <c r="L1" s="12" t="s">
        <v>380</v>
      </c>
      <c r="M1" s="13"/>
      <c r="N1" s="12"/>
      <c r="O1" s="13"/>
      <c r="P1" s="12"/>
      <c r="Q1" s="12"/>
      <c r="R1" s="13"/>
      <c r="S1" s="14"/>
      <c r="T1" s="8" t="s">
        <v>381</v>
      </c>
      <c r="U1" s="9"/>
      <c r="V1" s="8"/>
      <c r="W1" s="9"/>
      <c r="X1" s="15" t="s">
        <v>382</v>
      </c>
      <c r="Y1" s="15"/>
      <c r="Z1" s="16"/>
      <c r="AA1" s="15"/>
      <c r="AB1" s="15"/>
      <c r="AC1" s="15"/>
      <c r="AD1" s="16"/>
      <c r="AE1" s="15"/>
      <c r="AF1" s="15"/>
      <c r="AG1" s="16"/>
      <c r="AH1" s="15"/>
      <c r="AI1" s="15"/>
      <c r="AJ1" s="16"/>
      <c r="AK1" s="17" t="s">
        <v>445</v>
      </c>
      <c r="AL1" s="17"/>
      <c r="AM1" s="17"/>
      <c r="AN1" s="17"/>
      <c r="AO1" s="17"/>
      <c r="AP1" s="17"/>
      <c r="AQ1" s="95" t="s">
        <v>432</v>
      </c>
      <c r="AR1" s="96"/>
      <c r="AS1" s="96"/>
      <c r="AT1" s="96"/>
      <c r="AU1" s="96"/>
      <c r="AV1" s="96"/>
      <c r="AW1" s="96"/>
      <c r="AX1" s="96"/>
      <c r="AY1" s="96"/>
      <c r="AZ1" s="30" t="s">
        <v>384</v>
      </c>
      <c r="BA1" s="18"/>
      <c r="BB1" s="79"/>
      <c r="BC1" s="18"/>
      <c r="BD1" s="18"/>
      <c r="BE1" s="40"/>
      <c r="BF1" s="18"/>
      <c r="BG1" s="19" t="s">
        <v>388</v>
      </c>
      <c r="BH1" s="24" t="s">
        <v>387</v>
      </c>
      <c r="BI1" s="24"/>
      <c r="BJ1" s="24"/>
      <c r="BK1" s="24"/>
      <c r="BL1" s="24"/>
      <c r="BM1" s="24"/>
      <c r="BN1" s="5" t="s">
        <v>383</v>
      </c>
      <c r="BO1" s="5"/>
    </row>
    <row r="2" spans="1:67" customFormat="1" ht="136.5" customHeight="1">
      <c r="A2" s="25" t="s">
        <v>386</v>
      </c>
      <c r="B2" s="25" t="s">
        <v>409</v>
      </c>
      <c r="C2" s="25" t="s">
        <v>447</v>
      </c>
      <c r="D2" s="26" t="s">
        <v>413</v>
      </c>
      <c r="E2" s="25" t="s">
        <v>0</v>
      </c>
      <c r="F2" s="25" t="s">
        <v>1</v>
      </c>
      <c r="G2" s="25" t="s">
        <v>410</v>
      </c>
      <c r="H2" s="25" t="s">
        <v>2</v>
      </c>
      <c r="I2" s="25" t="s">
        <v>3</v>
      </c>
      <c r="J2" s="25" t="s">
        <v>4</v>
      </c>
      <c r="K2" s="27" t="s">
        <v>411</v>
      </c>
      <c r="L2" s="27" t="s">
        <v>414</v>
      </c>
      <c r="M2" s="25" t="s">
        <v>5</v>
      </c>
      <c r="N2" s="27" t="s">
        <v>415</v>
      </c>
      <c r="O2" s="25" t="s">
        <v>6</v>
      </c>
      <c r="P2" s="27" t="s">
        <v>454</v>
      </c>
      <c r="Q2" s="27" t="s">
        <v>416</v>
      </c>
      <c r="R2" s="25" t="s">
        <v>7</v>
      </c>
      <c r="S2" s="25" t="s">
        <v>8</v>
      </c>
      <c r="T2" s="25" t="s">
        <v>420</v>
      </c>
      <c r="U2" s="27" t="s">
        <v>419</v>
      </c>
      <c r="V2" s="25" t="s">
        <v>9</v>
      </c>
      <c r="W2" s="27" t="s">
        <v>10</v>
      </c>
      <c r="X2" s="11" t="s">
        <v>421</v>
      </c>
      <c r="Y2" s="27" t="s">
        <v>11</v>
      </c>
      <c r="Z2" s="25" t="s">
        <v>12</v>
      </c>
      <c r="AA2" s="27" t="s">
        <v>422</v>
      </c>
      <c r="AB2" s="27" t="s">
        <v>13</v>
      </c>
      <c r="AC2" s="27" t="s">
        <v>14</v>
      </c>
      <c r="AD2" s="25" t="s">
        <v>390</v>
      </c>
      <c r="AE2" s="27" t="s">
        <v>431</v>
      </c>
      <c r="AF2" s="27" t="s">
        <v>15</v>
      </c>
      <c r="AG2" s="25" t="s">
        <v>16</v>
      </c>
      <c r="AH2" s="27" t="s">
        <v>423</v>
      </c>
      <c r="AI2" s="27" t="s">
        <v>17</v>
      </c>
      <c r="AJ2" s="25" t="s">
        <v>18</v>
      </c>
      <c r="AK2" s="25" t="s">
        <v>19</v>
      </c>
      <c r="AL2" s="29" t="s">
        <v>424</v>
      </c>
      <c r="AM2" s="29" t="s">
        <v>425</v>
      </c>
      <c r="AN2" s="25" t="s">
        <v>20</v>
      </c>
      <c r="AO2" s="25" t="s">
        <v>426</v>
      </c>
      <c r="AP2" s="25" t="s">
        <v>427</v>
      </c>
      <c r="AQ2" s="25" t="s">
        <v>434</v>
      </c>
      <c r="AR2" s="25" t="s">
        <v>433</v>
      </c>
      <c r="AS2" s="25" t="s">
        <v>441</v>
      </c>
      <c r="AT2" s="25" t="s">
        <v>442</v>
      </c>
      <c r="AU2" s="25" t="s">
        <v>435</v>
      </c>
      <c r="AV2" s="25" t="s">
        <v>436</v>
      </c>
      <c r="AW2" s="25" t="s">
        <v>437</v>
      </c>
      <c r="AX2" s="25" t="s">
        <v>438</v>
      </c>
      <c r="AY2" s="25" t="s">
        <v>21</v>
      </c>
      <c r="AZ2" s="27" t="s">
        <v>428</v>
      </c>
      <c r="BA2" s="25" t="s">
        <v>430</v>
      </c>
      <c r="BB2" s="27" t="s">
        <v>429</v>
      </c>
      <c r="BC2" s="25" t="s">
        <v>22</v>
      </c>
      <c r="BD2" s="28" t="s">
        <v>385</v>
      </c>
      <c r="BE2" s="31" t="s">
        <v>440</v>
      </c>
      <c r="BF2" s="25" t="s">
        <v>23</v>
      </c>
      <c r="BG2" s="25" t="s">
        <v>24</v>
      </c>
      <c r="BH2" s="25" t="s">
        <v>417</v>
      </c>
      <c r="BI2" s="25" t="s">
        <v>418</v>
      </c>
      <c r="BJ2" s="25" t="s">
        <v>389</v>
      </c>
      <c r="BK2" s="25" t="s">
        <v>474</v>
      </c>
      <c r="BL2" s="31" t="s">
        <v>439</v>
      </c>
      <c r="BM2" s="31" t="s">
        <v>443</v>
      </c>
      <c r="BN2" s="25" t="s">
        <v>25</v>
      </c>
      <c r="BO2" s="25" t="s">
        <v>26</v>
      </c>
    </row>
    <row r="3" spans="1:67" s="54" customFormat="1" ht="45">
      <c r="A3" s="47" t="s">
        <v>300</v>
      </c>
      <c r="B3" s="48" t="s">
        <v>27</v>
      </c>
      <c r="C3" s="33" t="s">
        <v>369</v>
      </c>
      <c r="D3" s="34" t="s">
        <v>375</v>
      </c>
      <c r="E3" s="49" t="s">
        <v>28</v>
      </c>
      <c r="F3" s="49" t="s">
        <v>29</v>
      </c>
      <c r="G3" s="49" t="s">
        <v>28</v>
      </c>
      <c r="H3" s="49" t="s">
        <v>28</v>
      </c>
      <c r="I3" s="49" t="s">
        <v>28</v>
      </c>
      <c r="J3" s="49" t="s">
        <v>28</v>
      </c>
      <c r="K3" s="50"/>
      <c r="L3" s="50">
        <v>10000</v>
      </c>
      <c r="M3" s="49" t="s">
        <v>31</v>
      </c>
      <c r="N3" s="50">
        <v>8000</v>
      </c>
      <c r="O3" s="51" t="s">
        <v>31</v>
      </c>
      <c r="P3" s="50">
        <f>L3/100*72</f>
        <v>7200</v>
      </c>
      <c r="Q3" s="50">
        <v>1000</v>
      </c>
      <c r="R3" s="49" t="s">
        <v>31</v>
      </c>
      <c r="S3" s="48" t="s">
        <v>43</v>
      </c>
      <c r="T3" s="49" t="s">
        <v>29</v>
      </c>
      <c r="U3" s="50"/>
      <c r="V3" s="49" t="s">
        <v>29</v>
      </c>
      <c r="W3" s="50">
        <v>1500</v>
      </c>
      <c r="X3" s="50">
        <v>5</v>
      </c>
      <c r="Y3" s="50">
        <v>50</v>
      </c>
      <c r="Z3" s="51" t="s">
        <v>31</v>
      </c>
      <c r="AA3" s="50">
        <v>5</v>
      </c>
      <c r="AB3" s="50">
        <v>100</v>
      </c>
      <c r="AC3" s="50">
        <v>5</v>
      </c>
      <c r="AD3" s="51" t="s">
        <v>31</v>
      </c>
      <c r="AE3" s="50">
        <v>5</v>
      </c>
      <c r="AF3" s="50">
        <v>100</v>
      </c>
      <c r="AG3" s="51" t="s">
        <v>31</v>
      </c>
      <c r="AH3" s="50">
        <v>5</v>
      </c>
      <c r="AI3" s="50">
        <v>50</v>
      </c>
      <c r="AJ3" s="51" t="s">
        <v>31</v>
      </c>
      <c r="AK3" s="48" t="s">
        <v>28</v>
      </c>
      <c r="AL3" s="52"/>
      <c r="AM3" s="52"/>
      <c r="AN3" s="49" t="s">
        <v>29</v>
      </c>
      <c r="AO3" s="49" t="s">
        <v>29</v>
      </c>
      <c r="AP3" s="49"/>
      <c r="AQ3" s="48" t="s">
        <v>28</v>
      </c>
      <c r="AR3" s="48" t="s">
        <v>28</v>
      </c>
      <c r="AS3" s="48" t="s">
        <v>28</v>
      </c>
      <c r="AT3" s="48" t="s">
        <v>29</v>
      </c>
      <c r="AU3" s="48" t="s">
        <v>28</v>
      </c>
      <c r="AV3" s="48" t="s">
        <v>28</v>
      </c>
      <c r="AW3" s="48" t="s">
        <v>29</v>
      </c>
      <c r="AX3" s="48" t="s">
        <v>28</v>
      </c>
      <c r="AY3" s="48" t="s">
        <v>28</v>
      </c>
      <c r="AZ3" s="50">
        <v>35</v>
      </c>
      <c r="BA3" s="51" t="s">
        <v>31</v>
      </c>
      <c r="BB3" s="80">
        <v>10000</v>
      </c>
      <c r="BC3" s="51" t="s">
        <v>31</v>
      </c>
      <c r="BD3" s="35">
        <f>BB3/7*50</f>
        <v>71428.571428571435</v>
      </c>
      <c r="BE3" s="44">
        <v>0</v>
      </c>
      <c r="BF3" s="51" t="s">
        <v>30</v>
      </c>
      <c r="BG3" s="49" t="s">
        <v>28</v>
      </c>
      <c r="BH3" s="43">
        <f>P3/100*44*14.08</f>
        <v>44605.440000000002</v>
      </c>
      <c r="BI3" s="43">
        <f>P3/100*44*28.16</f>
        <v>89210.880000000005</v>
      </c>
      <c r="BJ3" s="43">
        <v>28682.5</v>
      </c>
      <c r="BK3" s="85">
        <f t="shared" ref="BK3:BK34" si="0">BH3+BI3+BJ3</f>
        <v>162498.82</v>
      </c>
      <c r="BL3" s="44">
        <f>BE3*(1-0.25)*(1-0.21)*(1-0.25)*1.2</f>
        <v>0</v>
      </c>
      <c r="BM3" s="89">
        <f t="shared" ref="BM3:BM34" si="1">SUBTOTAL(9,BE3,BL3)</f>
        <v>0</v>
      </c>
      <c r="BN3" s="53" t="s">
        <v>301</v>
      </c>
      <c r="BO3" s="53" t="s">
        <v>302</v>
      </c>
    </row>
    <row r="4" spans="1:67" s="54" customFormat="1" ht="30">
      <c r="A4" s="55" t="s">
        <v>448</v>
      </c>
      <c r="B4" s="56" t="s">
        <v>225</v>
      </c>
      <c r="C4" s="36" t="s">
        <v>370</v>
      </c>
      <c r="D4" s="37" t="s">
        <v>376</v>
      </c>
      <c r="E4" s="57" t="s">
        <v>29</v>
      </c>
      <c r="F4" s="57" t="s">
        <v>28</v>
      </c>
      <c r="G4" s="57" t="s">
        <v>28</v>
      </c>
      <c r="H4" s="57" t="s">
        <v>28</v>
      </c>
      <c r="I4" s="57" t="s">
        <v>28</v>
      </c>
      <c r="J4" s="57" t="s">
        <v>28</v>
      </c>
      <c r="K4" s="58">
        <v>2900</v>
      </c>
      <c r="L4" s="58">
        <v>123000</v>
      </c>
      <c r="M4" s="57" t="s">
        <v>30</v>
      </c>
      <c r="N4" s="58">
        <v>80000</v>
      </c>
      <c r="O4" s="59" t="s">
        <v>31</v>
      </c>
      <c r="P4" s="58">
        <f>L4/100*69</f>
        <v>84870</v>
      </c>
      <c r="Q4" s="58">
        <v>40000</v>
      </c>
      <c r="R4" s="57" t="s">
        <v>31</v>
      </c>
      <c r="S4" s="56" t="s">
        <v>226</v>
      </c>
      <c r="T4" s="57" t="s">
        <v>29</v>
      </c>
      <c r="U4" s="58">
        <v>200000</v>
      </c>
      <c r="V4" s="57" t="s">
        <v>29</v>
      </c>
      <c r="W4" s="58">
        <v>15000</v>
      </c>
      <c r="X4" s="58">
        <v>2</v>
      </c>
      <c r="Y4" s="58">
        <v>150</v>
      </c>
      <c r="Z4" s="59" t="s">
        <v>30</v>
      </c>
      <c r="AA4" s="58">
        <v>50</v>
      </c>
      <c r="AB4" s="58">
        <v>3000</v>
      </c>
      <c r="AC4" s="58">
        <v>3</v>
      </c>
      <c r="AD4" s="59" t="s">
        <v>30</v>
      </c>
      <c r="AE4" s="58">
        <v>20</v>
      </c>
      <c r="AF4" s="58">
        <v>12000</v>
      </c>
      <c r="AG4" s="59" t="s">
        <v>30</v>
      </c>
      <c r="AH4" s="58">
        <v>20</v>
      </c>
      <c r="AI4" s="58">
        <v>4000</v>
      </c>
      <c r="AJ4" s="59" t="s">
        <v>30</v>
      </c>
      <c r="AK4" s="56" t="s">
        <v>28</v>
      </c>
      <c r="AL4" s="60"/>
      <c r="AM4" s="60"/>
      <c r="AN4" s="57" t="s">
        <v>28</v>
      </c>
      <c r="AO4" s="57" t="s">
        <v>28</v>
      </c>
      <c r="AP4" s="57" t="s">
        <v>28</v>
      </c>
      <c r="AQ4" s="56" t="s">
        <v>28</v>
      </c>
      <c r="AR4" s="56" t="s">
        <v>28</v>
      </c>
      <c r="AS4" s="56" t="s">
        <v>29</v>
      </c>
      <c r="AT4" s="56" t="s">
        <v>29</v>
      </c>
      <c r="AU4" s="56" t="s">
        <v>28</v>
      </c>
      <c r="AV4" s="56" t="s">
        <v>29</v>
      </c>
      <c r="AW4" s="56" t="s">
        <v>28</v>
      </c>
      <c r="AX4" s="56" t="s">
        <v>28</v>
      </c>
      <c r="AY4" s="56" t="s">
        <v>227</v>
      </c>
      <c r="AZ4" s="58">
        <v>27</v>
      </c>
      <c r="BA4" s="59" t="s">
        <v>30</v>
      </c>
      <c r="BB4" s="81">
        <v>1992</v>
      </c>
      <c r="BC4" s="59" t="s">
        <v>30</v>
      </c>
      <c r="BD4" s="38">
        <f>BB4/7*50</f>
        <v>14228.571428571428</v>
      </c>
      <c r="BE4" s="46">
        <v>0</v>
      </c>
      <c r="BF4" s="59" t="s">
        <v>30</v>
      </c>
      <c r="BG4" s="57" t="s">
        <v>29</v>
      </c>
      <c r="BH4" s="45">
        <f>P4/100*31*17.99</f>
        <v>473311.50299999997</v>
      </c>
      <c r="BI4" s="45">
        <f>P4/100*31*35.98</f>
        <v>946623.00599999994</v>
      </c>
      <c r="BJ4" s="45">
        <v>40966.122499999998</v>
      </c>
      <c r="BK4" s="86">
        <f t="shared" si="0"/>
        <v>1460900.6314999999</v>
      </c>
      <c r="BL4" s="46">
        <f>BE4*(1-0.25)*(1-0.25)*(1-0.375)*1.2</f>
        <v>0</v>
      </c>
      <c r="BM4" s="90">
        <f t="shared" si="1"/>
        <v>0</v>
      </c>
      <c r="BN4" s="61" t="s">
        <v>43</v>
      </c>
      <c r="BO4" s="61" t="s">
        <v>43</v>
      </c>
    </row>
    <row r="5" spans="1:67" s="54" customFormat="1" ht="45">
      <c r="A5" s="55" t="s">
        <v>91</v>
      </c>
      <c r="B5" s="56" t="s">
        <v>27</v>
      </c>
      <c r="C5" s="62" t="s">
        <v>371</v>
      </c>
      <c r="D5" s="39" t="s">
        <v>377</v>
      </c>
      <c r="E5" s="57" t="s">
        <v>28</v>
      </c>
      <c r="F5" s="57" t="s">
        <v>29</v>
      </c>
      <c r="G5" s="57" t="s">
        <v>28</v>
      </c>
      <c r="H5" s="57" t="s">
        <v>28</v>
      </c>
      <c r="I5" s="57" t="s">
        <v>28</v>
      </c>
      <c r="J5" s="57" t="s">
        <v>28</v>
      </c>
      <c r="K5" s="58">
        <v>1225</v>
      </c>
      <c r="L5" s="58">
        <v>5063</v>
      </c>
      <c r="M5" s="57" t="s">
        <v>30</v>
      </c>
      <c r="N5" s="58">
        <v>4518</v>
      </c>
      <c r="O5" s="59" t="s">
        <v>30</v>
      </c>
      <c r="P5" s="58">
        <f>L5/100*75</f>
        <v>3797.25</v>
      </c>
      <c r="Q5" s="58">
        <v>545</v>
      </c>
      <c r="R5" s="57" t="s">
        <v>30</v>
      </c>
      <c r="S5" s="56" t="s">
        <v>92</v>
      </c>
      <c r="T5" s="57" t="s">
        <v>29</v>
      </c>
      <c r="U5" s="58"/>
      <c r="V5" s="57" t="s">
        <v>29</v>
      </c>
      <c r="W5" s="58">
        <v>100</v>
      </c>
      <c r="X5" s="58">
        <v>1</v>
      </c>
      <c r="Y5" s="58">
        <v>13</v>
      </c>
      <c r="Z5" s="59" t="s">
        <v>30</v>
      </c>
      <c r="AA5" s="58">
        <v>0</v>
      </c>
      <c r="AB5" s="58">
        <v>0</v>
      </c>
      <c r="AC5" s="58">
        <v>1</v>
      </c>
      <c r="AD5" s="59" t="s">
        <v>30</v>
      </c>
      <c r="AE5" s="58">
        <v>0</v>
      </c>
      <c r="AF5" s="58">
        <v>0</v>
      </c>
      <c r="AG5" s="59" t="s">
        <v>30</v>
      </c>
      <c r="AH5" s="58">
        <v>0</v>
      </c>
      <c r="AI5" s="58">
        <v>0</v>
      </c>
      <c r="AJ5" s="59" t="s">
        <v>30</v>
      </c>
      <c r="AK5" s="56" t="s">
        <v>29</v>
      </c>
      <c r="AL5" s="60">
        <v>2</v>
      </c>
      <c r="AM5" s="60">
        <v>0</v>
      </c>
      <c r="AN5" s="57" t="s">
        <v>29</v>
      </c>
      <c r="AO5" s="57" t="s">
        <v>28</v>
      </c>
      <c r="AP5" s="57" t="s">
        <v>28</v>
      </c>
      <c r="AQ5" s="56" t="s">
        <v>28</v>
      </c>
      <c r="AR5" s="56" t="s">
        <v>29</v>
      </c>
      <c r="AS5" s="56" t="s">
        <v>28</v>
      </c>
      <c r="AT5" s="56" t="s">
        <v>29</v>
      </c>
      <c r="AU5" s="56" t="s">
        <v>28</v>
      </c>
      <c r="AV5" s="56" t="s">
        <v>28</v>
      </c>
      <c r="AW5" s="56" t="s">
        <v>29</v>
      </c>
      <c r="AX5" s="56" t="s">
        <v>28</v>
      </c>
      <c r="AY5" s="56" t="s">
        <v>28</v>
      </c>
      <c r="AZ5" s="58">
        <v>57</v>
      </c>
      <c r="BA5" s="59" t="s">
        <v>30</v>
      </c>
      <c r="BB5" s="82" t="s">
        <v>68</v>
      </c>
      <c r="BC5" s="59" t="s">
        <v>31</v>
      </c>
      <c r="BD5" s="38"/>
      <c r="BE5" s="63">
        <v>0</v>
      </c>
      <c r="BF5" s="59" t="s">
        <v>30</v>
      </c>
      <c r="BG5" s="57" t="s">
        <v>29</v>
      </c>
      <c r="BH5" s="45">
        <f>P5/100*47*12.86</f>
        <v>22951.338449999996</v>
      </c>
      <c r="BI5" s="45">
        <f>P5/100*47*23.73</f>
        <v>42351.108974999996</v>
      </c>
      <c r="BJ5" s="45">
        <v>19686.937899999997</v>
      </c>
      <c r="BK5" s="86">
        <f t="shared" si="0"/>
        <v>84989.385324999981</v>
      </c>
      <c r="BL5" s="63">
        <f t="shared" ref="BL5:BL11" si="2">BE5*(1-0.25)*(1-0.21)*(1-0.25)*1.2</f>
        <v>0</v>
      </c>
      <c r="BM5" s="91">
        <f t="shared" si="1"/>
        <v>0</v>
      </c>
      <c r="BN5" s="61" t="s">
        <v>86</v>
      </c>
      <c r="BO5" s="61" t="s">
        <v>93</v>
      </c>
    </row>
    <row r="6" spans="1:67" s="54" customFormat="1" ht="45">
      <c r="A6" s="55" t="s">
        <v>346</v>
      </c>
      <c r="B6" s="56" t="s">
        <v>42</v>
      </c>
      <c r="C6" s="36" t="s">
        <v>369</v>
      </c>
      <c r="D6" s="37" t="s">
        <v>377</v>
      </c>
      <c r="E6" s="57" t="s">
        <v>29</v>
      </c>
      <c r="F6" s="57" t="s">
        <v>28</v>
      </c>
      <c r="G6" s="57" t="s">
        <v>28</v>
      </c>
      <c r="H6" s="57" t="s">
        <v>28</v>
      </c>
      <c r="I6" s="57" t="s">
        <v>28</v>
      </c>
      <c r="J6" s="57" t="s">
        <v>28</v>
      </c>
      <c r="K6" s="58">
        <v>1672</v>
      </c>
      <c r="L6" s="58">
        <v>9654</v>
      </c>
      <c r="M6" s="57" t="s">
        <v>31</v>
      </c>
      <c r="N6" s="58">
        <v>6829</v>
      </c>
      <c r="O6" s="59" t="s">
        <v>31</v>
      </c>
      <c r="P6" s="58">
        <f>L6/100*75</f>
        <v>7240.5000000000009</v>
      </c>
      <c r="Q6" s="58">
        <v>2825</v>
      </c>
      <c r="R6" s="57" t="s">
        <v>31</v>
      </c>
      <c r="S6" s="56" t="s">
        <v>347</v>
      </c>
      <c r="T6" s="57" t="s">
        <v>29</v>
      </c>
      <c r="U6" s="58">
        <v>4729</v>
      </c>
      <c r="V6" s="57" t="s">
        <v>29</v>
      </c>
      <c r="W6" s="58">
        <v>3235</v>
      </c>
      <c r="X6" s="58">
        <v>42</v>
      </c>
      <c r="Y6" s="58">
        <v>1022</v>
      </c>
      <c r="Z6" s="59" t="s">
        <v>31</v>
      </c>
      <c r="AA6" s="58">
        <v>0</v>
      </c>
      <c r="AB6" s="58">
        <v>0</v>
      </c>
      <c r="AC6" s="58"/>
      <c r="AD6" s="59" t="s">
        <v>30</v>
      </c>
      <c r="AE6" s="58">
        <v>47</v>
      </c>
      <c r="AF6" s="58">
        <v>1626</v>
      </c>
      <c r="AG6" s="59" t="s">
        <v>31</v>
      </c>
      <c r="AH6" s="58">
        <v>1</v>
      </c>
      <c r="AI6" s="58">
        <v>73</v>
      </c>
      <c r="AJ6" s="59" t="s">
        <v>31</v>
      </c>
      <c r="AK6" s="56" t="s">
        <v>29</v>
      </c>
      <c r="AL6" s="60">
        <v>4.3499999999999996</v>
      </c>
      <c r="AM6" s="60">
        <v>3.5</v>
      </c>
      <c r="AN6" s="57" t="s">
        <v>29</v>
      </c>
      <c r="AO6" s="57" t="s">
        <v>28</v>
      </c>
      <c r="AP6" s="57" t="s">
        <v>28</v>
      </c>
      <c r="AQ6" s="56" t="s">
        <v>29</v>
      </c>
      <c r="AR6" s="56" t="s">
        <v>28</v>
      </c>
      <c r="AS6" s="56" t="s">
        <v>28</v>
      </c>
      <c r="AT6" s="56" t="s">
        <v>29</v>
      </c>
      <c r="AU6" s="56" t="s">
        <v>28</v>
      </c>
      <c r="AV6" s="56" t="s">
        <v>28</v>
      </c>
      <c r="AW6" s="56" t="s">
        <v>28</v>
      </c>
      <c r="AX6" s="56" t="s">
        <v>28</v>
      </c>
      <c r="AY6" s="56" t="s">
        <v>28</v>
      </c>
      <c r="AZ6" s="58">
        <v>8</v>
      </c>
      <c r="BA6" s="59" t="s">
        <v>30</v>
      </c>
      <c r="BB6" s="81">
        <v>885</v>
      </c>
      <c r="BC6" s="59" t="s">
        <v>30</v>
      </c>
      <c r="BD6" s="38">
        <f t="shared" ref="BD6:BD17" si="3">BB6/7*50</f>
        <v>6321.4285714285716</v>
      </c>
      <c r="BE6" s="46">
        <v>2.8</v>
      </c>
      <c r="BF6" s="59" t="s">
        <v>30</v>
      </c>
      <c r="BG6" s="57" t="s">
        <v>29</v>
      </c>
      <c r="BH6" s="45">
        <f>P6/100*47*14.08</f>
        <v>47914.732800000013</v>
      </c>
      <c r="BI6" s="45">
        <f>P6/100*47*28.16</f>
        <v>95829.465600000025</v>
      </c>
      <c r="BJ6" s="45">
        <v>29291.35125</v>
      </c>
      <c r="BK6" s="86">
        <f t="shared" si="0"/>
        <v>173035.54965000006</v>
      </c>
      <c r="BL6" s="46">
        <f t="shared" si="2"/>
        <v>1.4930999999999999</v>
      </c>
      <c r="BM6" s="90">
        <f t="shared" si="1"/>
        <v>4.2930999999999999</v>
      </c>
      <c r="BN6" s="61" t="s">
        <v>32</v>
      </c>
      <c r="BO6" s="61" t="s">
        <v>32</v>
      </c>
    </row>
    <row r="7" spans="1:67" s="54" customFormat="1" ht="30">
      <c r="A7" s="55" t="s">
        <v>153</v>
      </c>
      <c r="B7" s="56" t="s">
        <v>27</v>
      </c>
      <c r="C7" s="36" t="s">
        <v>372</v>
      </c>
      <c r="D7" s="37" t="s">
        <v>377</v>
      </c>
      <c r="E7" s="57" t="s">
        <v>29</v>
      </c>
      <c r="F7" s="57" t="s">
        <v>28</v>
      </c>
      <c r="G7" s="57" t="s">
        <v>28</v>
      </c>
      <c r="H7" s="57" t="s">
        <v>28</v>
      </c>
      <c r="I7" s="57" t="s">
        <v>28</v>
      </c>
      <c r="J7" s="57" t="s">
        <v>28</v>
      </c>
      <c r="K7" s="58">
        <v>352</v>
      </c>
      <c r="L7" s="58">
        <v>1293</v>
      </c>
      <c r="M7" s="57" t="s">
        <v>30</v>
      </c>
      <c r="N7" s="58">
        <v>1067</v>
      </c>
      <c r="O7" s="59" t="s">
        <v>30</v>
      </c>
      <c r="P7" s="58">
        <f>L7/100*75</f>
        <v>969.75</v>
      </c>
      <c r="Q7" s="58">
        <v>226</v>
      </c>
      <c r="R7" s="57" t="s">
        <v>30</v>
      </c>
      <c r="S7" s="56" t="s">
        <v>28</v>
      </c>
      <c r="T7" s="57" t="s">
        <v>29</v>
      </c>
      <c r="U7" s="58"/>
      <c r="V7" s="57" t="s">
        <v>29</v>
      </c>
      <c r="W7" s="58"/>
      <c r="X7" s="58">
        <v>2</v>
      </c>
      <c r="Y7" s="58">
        <v>68</v>
      </c>
      <c r="Z7" s="59" t="s">
        <v>30</v>
      </c>
      <c r="AA7" s="58">
        <v>0</v>
      </c>
      <c r="AB7" s="58">
        <v>0</v>
      </c>
      <c r="AC7" s="58">
        <v>2</v>
      </c>
      <c r="AD7" s="59" t="s">
        <v>30</v>
      </c>
      <c r="AE7" s="58">
        <v>5</v>
      </c>
      <c r="AF7" s="58">
        <v>170</v>
      </c>
      <c r="AG7" s="59" t="s">
        <v>30</v>
      </c>
      <c r="AH7" s="58">
        <v>6</v>
      </c>
      <c r="AI7" s="58">
        <v>420</v>
      </c>
      <c r="AJ7" s="59" t="s">
        <v>30</v>
      </c>
      <c r="AK7" s="56" t="s">
        <v>29</v>
      </c>
      <c r="AL7" s="60">
        <v>2</v>
      </c>
      <c r="AM7" s="60">
        <v>0</v>
      </c>
      <c r="AN7" s="57" t="s">
        <v>29</v>
      </c>
      <c r="AO7" s="57" t="s">
        <v>28</v>
      </c>
      <c r="AP7" s="57" t="s">
        <v>28</v>
      </c>
      <c r="AQ7" s="56" t="s">
        <v>28</v>
      </c>
      <c r="AR7" s="56" t="s">
        <v>28</v>
      </c>
      <c r="AS7" s="56" t="s">
        <v>28</v>
      </c>
      <c r="AT7" s="56" t="s">
        <v>29</v>
      </c>
      <c r="AU7" s="56" t="s">
        <v>28</v>
      </c>
      <c r="AV7" s="56" t="s">
        <v>28</v>
      </c>
      <c r="AW7" s="56" t="s">
        <v>28</v>
      </c>
      <c r="AX7" s="56" t="s">
        <v>154</v>
      </c>
      <c r="AY7" s="56" t="s">
        <v>28</v>
      </c>
      <c r="AZ7" s="58">
        <v>60</v>
      </c>
      <c r="BA7" s="59" t="s">
        <v>31</v>
      </c>
      <c r="BB7" s="81">
        <v>2500</v>
      </c>
      <c r="BC7" s="59" t="s">
        <v>31</v>
      </c>
      <c r="BD7" s="38">
        <f t="shared" si="3"/>
        <v>17857.142857142859</v>
      </c>
      <c r="BE7" s="46">
        <v>0</v>
      </c>
      <c r="BF7" s="59" t="s">
        <v>30</v>
      </c>
      <c r="BG7" s="57" t="s">
        <v>28</v>
      </c>
      <c r="BH7" s="45">
        <f>P7/100*47*11.29</f>
        <v>5145.7844249999989</v>
      </c>
      <c r="BI7" s="45">
        <f>P7/100*47*22.59</f>
        <v>10296.126675</v>
      </c>
      <c r="BJ7" s="45">
        <v>13753.258749999999</v>
      </c>
      <c r="BK7" s="86">
        <f t="shared" si="0"/>
        <v>29195.169849999998</v>
      </c>
      <c r="BL7" s="46">
        <f t="shared" si="2"/>
        <v>0</v>
      </c>
      <c r="BM7" s="90">
        <f t="shared" si="1"/>
        <v>0</v>
      </c>
      <c r="BN7" s="61" t="s">
        <v>155</v>
      </c>
      <c r="BO7" s="61" t="s">
        <v>32</v>
      </c>
    </row>
    <row r="8" spans="1:67" s="54" customFormat="1" ht="45">
      <c r="A8" s="55" t="s">
        <v>391</v>
      </c>
      <c r="B8" s="56" t="s">
        <v>27</v>
      </c>
      <c r="C8" s="62" t="s">
        <v>371</v>
      </c>
      <c r="D8" s="37" t="s">
        <v>377</v>
      </c>
      <c r="E8" s="57" t="s">
        <v>28</v>
      </c>
      <c r="F8" s="57" t="s">
        <v>29</v>
      </c>
      <c r="G8" s="57" t="s">
        <v>28</v>
      </c>
      <c r="H8" s="57" t="s">
        <v>28</v>
      </c>
      <c r="I8" s="57" t="s">
        <v>28</v>
      </c>
      <c r="J8" s="57" t="s">
        <v>28</v>
      </c>
      <c r="K8" s="58">
        <v>540</v>
      </c>
      <c r="L8" s="58">
        <v>2169</v>
      </c>
      <c r="M8" s="57" t="s">
        <v>30</v>
      </c>
      <c r="N8" s="58">
        <v>2024</v>
      </c>
      <c r="O8" s="59" t="s">
        <v>30</v>
      </c>
      <c r="P8" s="58">
        <f>L8/100*75</f>
        <v>1626.75</v>
      </c>
      <c r="Q8" s="58">
        <v>145</v>
      </c>
      <c r="R8" s="57" t="s">
        <v>30</v>
      </c>
      <c r="S8" s="56" t="s">
        <v>56</v>
      </c>
      <c r="T8" s="57" t="s">
        <v>29</v>
      </c>
      <c r="U8" s="58"/>
      <c r="V8" s="57" t="s">
        <v>29</v>
      </c>
      <c r="W8" s="58">
        <v>40</v>
      </c>
      <c r="X8" s="58">
        <v>7</v>
      </c>
      <c r="Y8" s="58">
        <v>140</v>
      </c>
      <c r="Z8" s="59" t="s">
        <v>31</v>
      </c>
      <c r="AA8" s="58">
        <v>2</v>
      </c>
      <c r="AB8" s="58">
        <v>40</v>
      </c>
      <c r="AC8" s="58">
        <v>3</v>
      </c>
      <c r="AD8" s="59" t="s">
        <v>30</v>
      </c>
      <c r="AE8" s="58">
        <v>2</v>
      </c>
      <c r="AF8" s="58">
        <v>30</v>
      </c>
      <c r="AG8" s="59" t="s">
        <v>31</v>
      </c>
      <c r="AH8" s="58">
        <v>4</v>
      </c>
      <c r="AI8" s="58">
        <v>80</v>
      </c>
      <c r="AJ8" s="59" t="s">
        <v>31</v>
      </c>
      <c r="AK8" s="56" t="s">
        <v>28</v>
      </c>
      <c r="AL8" s="60"/>
      <c r="AM8" s="60"/>
      <c r="AN8" s="57" t="s">
        <v>29</v>
      </c>
      <c r="AO8" s="57" t="s">
        <v>28</v>
      </c>
      <c r="AP8" s="57" t="s">
        <v>28</v>
      </c>
      <c r="AQ8" s="56" t="s">
        <v>28</v>
      </c>
      <c r="AR8" s="56" t="s">
        <v>28</v>
      </c>
      <c r="AS8" s="56" t="s">
        <v>28</v>
      </c>
      <c r="AT8" s="56" t="s">
        <v>29</v>
      </c>
      <c r="AU8" s="56" t="s">
        <v>28</v>
      </c>
      <c r="AV8" s="56" t="s">
        <v>28</v>
      </c>
      <c r="AW8" s="56" t="s">
        <v>29</v>
      </c>
      <c r="AX8" s="56" t="s">
        <v>28</v>
      </c>
      <c r="AY8" s="56" t="s">
        <v>28</v>
      </c>
      <c r="AZ8" s="58">
        <v>57</v>
      </c>
      <c r="BA8" s="59" t="s">
        <v>30</v>
      </c>
      <c r="BB8" s="81">
        <v>4750</v>
      </c>
      <c r="BC8" s="59" t="s">
        <v>31</v>
      </c>
      <c r="BD8" s="38">
        <f t="shared" si="3"/>
        <v>33928.571428571428</v>
      </c>
      <c r="BE8" s="46">
        <v>0</v>
      </c>
      <c r="BF8" s="59" t="s">
        <v>30</v>
      </c>
      <c r="BG8" s="57" t="s">
        <v>28</v>
      </c>
      <c r="BH8" s="45">
        <f>P8/100*47*12.86</f>
        <v>9832.4023499999985</v>
      </c>
      <c r="BI8" s="45">
        <f>P8/100*47*23.73</f>
        <v>18143.305424999999</v>
      </c>
      <c r="BJ8" s="45">
        <v>18904.375</v>
      </c>
      <c r="BK8" s="86">
        <f t="shared" si="0"/>
        <v>46880.082774999995</v>
      </c>
      <c r="BL8" s="46">
        <f t="shared" si="2"/>
        <v>0</v>
      </c>
      <c r="BM8" s="90">
        <f t="shared" si="1"/>
        <v>0</v>
      </c>
      <c r="BN8" s="61" t="s">
        <v>50</v>
      </c>
      <c r="BO8" s="61" t="s">
        <v>32</v>
      </c>
    </row>
    <row r="9" spans="1:67" s="54" customFormat="1" ht="45">
      <c r="A9" s="55" t="s">
        <v>446</v>
      </c>
      <c r="B9" s="56" t="s">
        <v>42</v>
      </c>
      <c r="C9" s="36" t="s">
        <v>373</v>
      </c>
      <c r="D9" s="37" t="s">
        <v>375</v>
      </c>
      <c r="E9" s="57" t="s">
        <v>29</v>
      </c>
      <c r="F9" s="57" t="s">
        <v>28</v>
      </c>
      <c r="G9" s="57" t="s">
        <v>28</v>
      </c>
      <c r="H9" s="57" t="s">
        <v>28</v>
      </c>
      <c r="I9" s="57" t="s">
        <v>28</v>
      </c>
      <c r="J9" s="57" t="s">
        <v>28</v>
      </c>
      <c r="K9" s="58"/>
      <c r="L9" s="58">
        <v>11445</v>
      </c>
      <c r="M9" s="57" t="s">
        <v>31</v>
      </c>
      <c r="N9" s="58"/>
      <c r="O9" s="59" t="s">
        <v>32</v>
      </c>
      <c r="P9" s="58">
        <f>L9/100*72</f>
        <v>8240.4</v>
      </c>
      <c r="Q9" s="58" t="s">
        <v>32</v>
      </c>
      <c r="R9" s="57" t="s">
        <v>32</v>
      </c>
      <c r="S9" s="56" t="s">
        <v>353</v>
      </c>
      <c r="T9" s="57" t="s">
        <v>29</v>
      </c>
      <c r="U9" s="58">
        <v>6361</v>
      </c>
      <c r="V9" s="57" t="s">
        <v>29</v>
      </c>
      <c r="W9" s="58">
        <v>1340</v>
      </c>
      <c r="X9" s="58">
        <v>7</v>
      </c>
      <c r="Y9" s="58">
        <v>728</v>
      </c>
      <c r="Z9" s="59" t="s">
        <v>31</v>
      </c>
      <c r="AA9" s="58">
        <v>2</v>
      </c>
      <c r="AB9" s="58">
        <v>3</v>
      </c>
      <c r="AC9" s="58"/>
      <c r="AD9" s="59" t="s">
        <v>31</v>
      </c>
      <c r="AE9" s="58">
        <v>9</v>
      </c>
      <c r="AF9" s="58">
        <v>913</v>
      </c>
      <c r="AG9" s="59" t="s">
        <v>31</v>
      </c>
      <c r="AH9" s="58">
        <v>1</v>
      </c>
      <c r="AI9" s="58">
        <v>212</v>
      </c>
      <c r="AJ9" s="59" t="s">
        <v>31</v>
      </c>
      <c r="AK9" s="56" t="s">
        <v>28</v>
      </c>
      <c r="AL9" s="60"/>
      <c r="AM9" s="60"/>
      <c r="AN9" s="57" t="s">
        <v>29</v>
      </c>
      <c r="AO9" s="57" t="s">
        <v>29</v>
      </c>
      <c r="AP9" s="57"/>
      <c r="AQ9" s="56" t="s">
        <v>28</v>
      </c>
      <c r="AR9" s="56" t="s">
        <v>28</v>
      </c>
      <c r="AS9" s="56" t="s">
        <v>28</v>
      </c>
      <c r="AT9" s="56" t="s">
        <v>28</v>
      </c>
      <c r="AU9" s="56" t="s">
        <v>28</v>
      </c>
      <c r="AV9" s="56" t="s">
        <v>28</v>
      </c>
      <c r="AW9" s="56" t="s">
        <v>28</v>
      </c>
      <c r="AX9" s="56" t="s">
        <v>28</v>
      </c>
      <c r="AY9" s="56" t="s">
        <v>28</v>
      </c>
      <c r="AZ9" s="58">
        <v>8</v>
      </c>
      <c r="BA9" s="59" t="s">
        <v>31</v>
      </c>
      <c r="BB9" s="81">
        <v>655</v>
      </c>
      <c r="BC9" s="59" t="s">
        <v>31</v>
      </c>
      <c r="BD9" s="38">
        <f t="shared" si="3"/>
        <v>4678.5714285714284</v>
      </c>
      <c r="BE9" s="46">
        <v>3</v>
      </c>
      <c r="BF9" s="59" t="s">
        <v>31</v>
      </c>
      <c r="BG9" s="57" t="s">
        <v>29</v>
      </c>
      <c r="BH9" s="45">
        <f>P9/100*44*12.91</f>
        <v>46808.76816</v>
      </c>
      <c r="BI9" s="45">
        <f>P9/100*44*25.82</f>
        <v>93617.536319999999</v>
      </c>
      <c r="BJ9" s="45">
        <v>65455.313036880063</v>
      </c>
      <c r="BK9" s="86">
        <f t="shared" si="0"/>
        <v>205881.61751688004</v>
      </c>
      <c r="BL9" s="46">
        <f t="shared" si="2"/>
        <v>1.59975</v>
      </c>
      <c r="BM9" s="90">
        <f t="shared" si="1"/>
        <v>4.5997500000000002</v>
      </c>
      <c r="BN9" s="61" t="s">
        <v>32</v>
      </c>
      <c r="BO9" s="61" t="s">
        <v>32</v>
      </c>
    </row>
    <row r="10" spans="1:67" s="54" customFormat="1" ht="30">
      <c r="A10" s="55" t="s">
        <v>89</v>
      </c>
      <c r="B10" s="56" t="s">
        <v>27</v>
      </c>
      <c r="C10" s="62" t="s">
        <v>371</v>
      </c>
      <c r="D10" s="37" t="s">
        <v>377</v>
      </c>
      <c r="E10" s="57" t="s">
        <v>28</v>
      </c>
      <c r="F10" s="57" t="s">
        <v>29</v>
      </c>
      <c r="G10" s="57" t="s">
        <v>28</v>
      </c>
      <c r="H10" s="57" t="s">
        <v>28</v>
      </c>
      <c r="I10" s="57" t="s">
        <v>28</v>
      </c>
      <c r="J10" s="57" t="s">
        <v>28</v>
      </c>
      <c r="K10" s="58">
        <v>126</v>
      </c>
      <c r="L10" s="58">
        <v>3063</v>
      </c>
      <c r="M10" s="57" t="s">
        <v>30</v>
      </c>
      <c r="N10" s="58">
        <v>2334</v>
      </c>
      <c r="O10" s="59" t="s">
        <v>30</v>
      </c>
      <c r="P10" s="58">
        <f>L10/100*75</f>
        <v>2297.25</v>
      </c>
      <c r="Q10" s="58">
        <v>729</v>
      </c>
      <c r="R10" s="57" t="s">
        <v>30</v>
      </c>
      <c r="S10" s="56" t="s">
        <v>90</v>
      </c>
      <c r="T10" s="57" t="s">
        <v>29</v>
      </c>
      <c r="U10" s="58">
        <v>36501</v>
      </c>
      <c r="V10" s="57" t="s">
        <v>29</v>
      </c>
      <c r="W10" s="58">
        <v>4024</v>
      </c>
      <c r="X10" s="58"/>
      <c r="Y10" s="58"/>
      <c r="Z10" s="59"/>
      <c r="AA10" s="58"/>
      <c r="AB10" s="58"/>
      <c r="AC10" s="58"/>
      <c r="AD10" s="59"/>
      <c r="AE10" s="58"/>
      <c r="AF10" s="58"/>
      <c r="AG10" s="59"/>
      <c r="AH10" s="58"/>
      <c r="AI10" s="58"/>
      <c r="AJ10" s="59"/>
      <c r="AK10" s="56" t="s">
        <v>29</v>
      </c>
      <c r="AL10" s="60">
        <v>5</v>
      </c>
      <c r="AM10" s="60">
        <v>0</v>
      </c>
      <c r="AN10" s="57" t="s">
        <v>29</v>
      </c>
      <c r="AO10" s="57" t="s">
        <v>29</v>
      </c>
      <c r="AP10" s="57"/>
      <c r="AQ10" s="56" t="s">
        <v>28</v>
      </c>
      <c r="AR10" s="56" t="s">
        <v>28</v>
      </c>
      <c r="AS10" s="56" t="s">
        <v>28</v>
      </c>
      <c r="AT10" s="56" t="s">
        <v>28</v>
      </c>
      <c r="AU10" s="56" t="s">
        <v>28</v>
      </c>
      <c r="AV10" s="56" t="s">
        <v>28</v>
      </c>
      <c r="AW10" s="56" t="s">
        <v>29</v>
      </c>
      <c r="AX10" s="56" t="s">
        <v>28</v>
      </c>
      <c r="AY10" s="56" t="s">
        <v>28</v>
      </c>
      <c r="AZ10" s="58">
        <v>25</v>
      </c>
      <c r="BA10" s="59" t="s">
        <v>30</v>
      </c>
      <c r="BB10" s="81">
        <v>5484</v>
      </c>
      <c r="BC10" s="59" t="s">
        <v>30</v>
      </c>
      <c r="BD10" s="38">
        <f t="shared" si="3"/>
        <v>39171.428571428572</v>
      </c>
      <c r="BE10" s="46">
        <v>0</v>
      </c>
      <c r="BF10" s="59" t="s">
        <v>30</v>
      </c>
      <c r="BG10" s="57" t="s">
        <v>29</v>
      </c>
      <c r="BH10" s="45">
        <f>P10/100*47*12.86</f>
        <v>13885.03845</v>
      </c>
      <c r="BI10" s="45">
        <f>P10/100*47*23.73</f>
        <v>25621.458975000001</v>
      </c>
      <c r="BJ10" s="45">
        <v>24017.591237499997</v>
      </c>
      <c r="BK10" s="86">
        <f t="shared" si="0"/>
        <v>63524.088662499998</v>
      </c>
      <c r="BL10" s="46">
        <f t="shared" si="2"/>
        <v>0</v>
      </c>
      <c r="BM10" s="90">
        <f t="shared" si="1"/>
        <v>0</v>
      </c>
      <c r="BN10" s="61" t="s">
        <v>32</v>
      </c>
      <c r="BO10" s="61" t="s">
        <v>32</v>
      </c>
    </row>
    <row r="11" spans="1:67" s="54" customFormat="1" ht="30">
      <c r="A11" s="55" t="s">
        <v>208</v>
      </c>
      <c r="B11" s="56" t="s">
        <v>27</v>
      </c>
      <c r="C11" s="36" t="s">
        <v>373</v>
      </c>
      <c r="D11" s="37" t="s">
        <v>377</v>
      </c>
      <c r="E11" s="57" t="s">
        <v>28</v>
      </c>
      <c r="F11" s="57" t="s">
        <v>29</v>
      </c>
      <c r="G11" s="57" t="s">
        <v>28</v>
      </c>
      <c r="H11" s="57" t="s">
        <v>29</v>
      </c>
      <c r="I11" s="57" t="s">
        <v>28</v>
      </c>
      <c r="J11" s="57" t="s">
        <v>28</v>
      </c>
      <c r="K11" s="58">
        <v>42</v>
      </c>
      <c r="L11" s="58">
        <v>280</v>
      </c>
      <c r="M11" s="57" t="s">
        <v>30</v>
      </c>
      <c r="N11" s="58">
        <v>210</v>
      </c>
      <c r="O11" s="59" t="s">
        <v>31</v>
      </c>
      <c r="P11" s="58">
        <f>L11/100*75</f>
        <v>210</v>
      </c>
      <c r="Q11" s="58">
        <v>70</v>
      </c>
      <c r="R11" s="57" t="s">
        <v>31</v>
      </c>
      <c r="S11" s="56" t="s">
        <v>28</v>
      </c>
      <c r="T11" s="57" t="s">
        <v>29</v>
      </c>
      <c r="U11" s="58"/>
      <c r="V11" s="57" t="s">
        <v>28</v>
      </c>
      <c r="W11" s="58"/>
      <c r="X11" s="58"/>
      <c r="Y11" s="58"/>
      <c r="Z11" s="59"/>
      <c r="AA11" s="58"/>
      <c r="AB11" s="58"/>
      <c r="AC11" s="58"/>
      <c r="AD11" s="59"/>
      <c r="AE11" s="58"/>
      <c r="AF11" s="58"/>
      <c r="AG11" s="59"/>
      <c r="AH11" s="58">
        <v>8</v>
      </c>
      <c r="AI11" s="58">
        <v>400</v>
      </c>
      <c r="AJ11" s="59" t="s">
        <v>31</v>
      </c>
      <c r="AK11" s="56" t="s">
        <v>28</v>
      </c>
      <c r="AL11" s="60"/>
      <c r="AM11" s="60"/>
      <c r="AN11" s="57" t="s">
        <v>28</v>
      </c>
      <c r="AO11" s="57" t="s">
        <v>28</v>
      </c>
      <c r="AP11" s="57" t="s">
        <v>28</v>
      </c>
      <c r="AQ11" s="56" t="s">
        <v>28</v>
      </c>
      <c r="AR11" s="56" t="s">
        <v>28</v>
      </c>
      <c r="AS11" s="56" t="s">
        <v>28</v>
      </c>
      <c r="AT11" s="56" t="s">
        <v>28</v>
      </c>
      <c r="AU11" s="56" t="s">
        <v>28</v>
      </c>
      <c r="AV11" s="56" t="s">
        <v>28</v>
      </c>
      <c r="AW11" s="56" t="s">
        <v>29</v>
      </c>
      <c r="AX11" s="56" t="s">
        <v>28</v>
      </c>
      <c r="AY11" s="56" t="s">
        <v>28</v>
      </c>
      <c r="AZ11" s="58">
        <v>20</v>
      </c>
      <c r="BA11" s="59" t="s">
        <v>31</v>
      </c>
      <c r="BB11" s="81">
        <v>700</v>
      </c>
      <c r="BC11" s="59" t="s">
        <v>31</v>
      </c>
      <c r="BD11" s="38">
        <f t="shared" si="3"/>
        <v>5000</v>
      </c>
      <c r="BE11" s="46"/>
      <c r="BF11" s="59" t="s">
        <v>30</v>
      </c>
      <c r="BG11" s="57" t="s">
        <v>28</v>
      </c>
      <c r="BH11" s="45">
        <f>P11/100*47*12.91</f>
        <v>1274.2170000000001</v>
      </c>
      <c r="BI11" s="45">
        <f>P11/100*47*25.82</f>
        <v>2548.4340000000002</v>
      </c>
      <c r="BJ11" s="45">
        <v>2992.1062499999998</v>
      </c>
      <c r="BK11" s="86">
        <f t="shared" si="0"/>
        <v>6814.7572500000006</v>
      </c>
      <c r="BL11" s="46">
        <f t="shared" si="2"/>
        <v>0</v>
      </c>
      <c r="BM11" s="90">
        <f t="shared" si="1"/>
        <v>0</v>
      </c>
      <c r="BN11" s="61" t="s">
        <v>50</v>
      </c>
      <c r="BO11" s="61" t="s">
        <v>32</v>
      </c>
    </row>
    <row r="12" spans="1:67" s="54" customFormat="1" ht="75">
      <c r="A12" s="55" t="s">
        <v>293</v>
      </c>
      <c r="B12" s="56" t="s">
        <v>27</v>
      </c>
      <c r="C12" s="36" t="s">
        <v>369</v>
      </c>
      <c r="D12" s="37" t="s">
        <v>378</v>
      </c>
      <c r="E12" s="57" t="s">
        <v>28</v>
      </c>
      <c r="F12" s="57" t="s">
        <v>29</v>
      </c>
      <c r="G12" s="57" t="s">
        <v>28</v>
      </c>
      <c r="H12" s="57" t="s">
        <v>28</v>
      </c>
      <c r="I12" s="57" t="s">
        <v>28</v>
      </c>
      <c r="J12" s="57" t="s">
        <v>28</v>
      </c>
      <c r="K12" s="58">
        <v>1600</v>
      </c>
      <c r="L12" s="58">
        <v>70089</v>
      </c>
      <c r="M12" s="57" t="s">
        <v>30</v>
      </c>
      <c r="N12" s="58"/>
      <c r="O12" s="59" t="s">
        <v>31</v>
      </c>
      <c r="P12" s="58">
        <f>L12/100*61</f>
        <v>42754.29</v>
      </c>
      <c r="Q12" s="58" t="s">
        <v>106</v>
      </c>
      <c r="R12" s="57" t="s">
        <v>31</v>
      </c>
      <c r="S12" s="56" t="s">
        <v>294</v>
      </c>
      <c r="T12" s="57" t="s">
        <v>29</v>
      </c>
      <c r="U12" s="58"/>
      <c r="V12" s="57" t="s">
        <v>29</v>
      </c>
      <c r="W12" s="58">
        <v>14900</v>
      </c>
      <c r="X12" s="58">
        <v>40</v>
      </c>
      <c r="Y12" s="58">
        <v>800</v>
      </c>
      <c r="Z12" s="59" t="s">
        <v>31</v>
      </c>
      <c r="AA12" s="58">
        <v>0</v>
      </c>
      <c r="AB12" s="58">
        <v>0</v>
      </c>
      <c r="AC12" s="58">
        <v>35</v>
      </c>
      <c r="AD12" s="59" t="s">
        <v>31</v>
      </c>
      <c r="AE12" s="58">
        <v>1</v>
      </c>
      <c r="AF12" s="58">
        <v>25</v>
      </c>
      <c r="AG12" s="59" t="s">
        <v>30</v>
      </c>
      <c r="AH12" s="58">
        <v>10</v>
      </c>
      <c r="AI12" s="58"/>
      <c r="AJ12" s="59" t="s">
        <v>30</v>
      </c>
      <c r="AK12" s="56" t="s">
        <v>29</v>
      </c>
      <c r="AL12" s="60">
        <v>14.99</v>
      </c>
      <c r="AM12" s="60">
        <v>9.99</v>
      </c>
      <c r="AN12" s="57" t="s">
        <v>29</v>
      </c>
      <c r="AO12" s="57" t="s">
        <v>29</v>
      </c>
      <c r="AP12" s="57"/>
      <c r="AQ12" s="56" t="s">
        <v>29</v>
      </c>
      <c r="AR12" s="56" t="s">
        <v>28</v>
      </c>
      <c r="AS12" s="56" t="s">
        <v>28</v>
      </c>
      <c r="AT12" s="56" t="s">
        <v>29</v>
      </c>
      <c r="AU12" s="56" t="s">
        <v>28</v>
      </c>
      <c r="AV12" s="56" t="s">
        <v>28</v>
      </c>
      <c r="AW12" s="56" t="s">
        <v>29</v>
      </c>
      <c r="AX12" s="56" t="s">
        <v>28</v>
      </c>
      <c r="AY12" s="56" t="s">
        <v>29</v>
      </c>
      <c r="AZ12" s="58">
        <v>100</v>
      </c>
      <c r="BA12" s="59" t="s">
        <v>31</v>
      </c>
      <c r="BB12" s="81">
        <v>24000</v>
      </c>
      <c r="BC12" s="59" t="s">
        <v>31</v>
      </c>
      <c r="BD12" s="38">
        <f t="shared" si="3"/>
        <v>171428.57142857142</v>
      </c>
      <c r="BE12" s="46">
        <v>9</v>
      </c>
      <c r="BF12" s="59" t="s">
        <v>30</v>
      </c>
      <c r="BG12" s="57" t="s">
        <v>73</v>
      </c>
      <c r="BH12" s="45">
        <f>P12/100*31*14.08</f>
        <v>186613.92499200001</v>
      </c>
      <c r="BI12" s="45">
        <f>P12/100*31*28.16</f>
        <v>373227.84998400003</v>
      </c>
      <c r="BJ12" s="45">
        <v>0</v>
      </c>
      <c r="BK12" s="86">
        <f t="shared" si="0"/>
        <v>559841.77497600007</v>
      </c>
      <c r="BL12" s="46">
        <f>BE12*(1-0.25)*(1-0.25)*(1-0.375)*1.2</f>
        <v>3.796875</v>
      </c>
      <c r="BM12" s="90">
        <f t="shared" si="1"/>
        <v>12.796875</v>
      </c>
      <c r="BN12" s="61" t="s">
        <v>295</v>
      </c>
      <c r="BO12" s="61" t="s">
        <v>32</v>
      </c>
    </row>
    <row r="13" spans="1:67" s="54" customFormat="1" ht="30">
      <c r="A13" s="55" t="s">
        <v>214</v>
      </c>
      <c r="B13" s="56" t="s">
        <v>27</v>
      </c>
      <c r="C13" s="36" t="s">
        <v>373</v>
      </c>
      <c r="D13" s="39" t="s">
        <v>377</v>
      </c>
      <c r="E13" s="57" t="s">
        <v>28</v>
      </c>
      <c r="F13" s="57" t="s">
        <v>29</v>
      </c>
      <c r="G13" s="57" t="s">
        <v>28</v>
      </c>
      <c r="H13" s="57" t="s">
        <v>28</v>
      </c>
      <c r="I13" s="57" t="s">
        <v>28</v>
      </c>
      <c r="J13" s="57" t="s">
        <v>28</v>
      </c>
      <c r="K13" s="58">
        <v>284</v>
      </c>
      <c r="L13" s="58">
        <v>1500</v>
      </c>
      <c r="M13" s="57" t="s">
        <v>31</v>
      </c>
      <c r="N13" s="58">
        <v>1200</v>
      </c>
      <c r="O13" s="59" t="s">
        <v>31</v>
      </c>
      <c r="P13" s="58">
        <f>L13/100*75</f>
        <v>1125</v>
      </c>
      <c r="Q13" s="58">
        <v>300</v>
      </c>
      <c r="R13" s="57" t="s">
        <v>31</v>
      </c>
      <c r="S13" s="56" t="s">
        <v>215</v>
      </c>
      <c r="T13" s="57" t="s">
        <v>29</v>
      </c>
      <c r="U13" s="58"/>
      <c r="V13" s="57" t="s">
        <v>29</v>
      </c>
      <c r="W13" s="58"/>
      <c r="X13" s="58">
        <v>0</v>
      </c>
      <c r="Y13" s="58"/>
      <c r="Z13" s="59" t="s">
        <v>30</v>
      </c>
      <c r="AA13" s="58">
        <v>2</v>
      </c>
      <c r="AB13" s="58">
        <v>60</v>
      </c>
      <c r="AC13" s="58">
        <v>1</v>
      </c>
      <c r="AD13" s="59" t="s">
        <v>30</v>
      </c>
      <c r="AE13" s="58">
        <v>0</v>
      </c>
      <c r="AF13" s="58"/>
      <c r="AG13" s="59" t="s">
        <v>30</v>
      </c>
      <c r="AH13" s="58">
        <v>5</v>
      </c>
      <c r="AI13" s="58">
        <v>70</v>
      </c>
      <c r="AJ13" s="59" t="s">
        <v>31</v>
      </c>
      <c r="AK13" s="56" t="s">
        <v>28</v>
      </c>
      <c r="AL13" s="60"/>
      <c r="AM13" s="60"/>
      <c r="AN13" s="57" t="s">
        <v>28</v>
      </c>
      <c r="AO13" s="57" t="s">
        <v>28</v>
      </c>
      <c r="AP13" s="57" t="s">
        <v>28</v>
      </c>
      <c r="AQ13" s="56" t="s">
        <v>28</v>
      </c>
      <c r="AR13" s="56" t="s">
        <v>28</v>
      </c>
      <c r="AS13" s="56" t="s">
        <v>28</v>
      </c>
      <c r="AT13" s="56" t="s">
        <v>29</v>
      </c>
      <c r="AU13" s="56" t="s">
        <v>29</v>
      </c>
      <c r="AV13" s="56" t="s">
        <v>28</v>
      </c>
      <c r="AW13" s="56" t="s">
        <v>28</v>
      </c>
      <c r="AX13" s="56" t="s">
        <v>28</v>
      </c>
      <c r="AY13" s="56" t="s">
        <v>28</v>
      </c>
      <c r="AZ13" s="58">
        <v>38</v>
      </c>
      <c r="BA13" s="59" t="s">
        <v>30</v>
      </c>
      <c r="BB13" s="81">
        <v>2500</v>
      </c>
      <c r="BC13" s="59" t="s">
        <v>31</v>
      </c>
      <c r="BD13" s="38">
        <f t="shared" si="3"/>
        <v>17857.142857142859</v>
      </c>
      <c r="BE13" s="46">
        <v>0</v>
      </c>
      <c r="BF13" s="59" t="s">
        <v>30</v>
      </c>
      <c r="BG13" s="57" t="s">
        <v>29</v>
      </c>
      <c r="BH13" s="45">
        <f>P13/100*47*12.91</f>
        <v>6826.1625000000004</v>
      </c>
      <c r="BI13" s="45">
        <f>P13/100*47*25.82</f>
        <v>13652.325000000001</v>
      </c>
      <c r="BJ13" s="45">
        <v>26905.48875</v>
      </c>
      <c r="BK13" s="86">
        <f t="shared" si="0"/>
        <v>47383.976250000007</v>
      </c>
      <c r="BL13" s="46">
        <f t="shared" ref="BL13:BL20" si="4">BE13*(1-0.25)*(1-0.21)*(1-0.25)*1.2</f>
        <v>0</v>
      </c>
      <c r="BM13" s="90">
        <f t="shared" si="1"/>
        <v>0</v>
      </c>
      <c r="BN13" s="61" t="s">
        <v>216</v>
      </c>
      <c r="BO13" s="61" t="s">
        <v>32</v>
      </c>
    </row>
    <row r="14" spans="1:67" s="54" customFormat="1" ht="90">
      <c r="A14" s="55" t="s">
        <v>271</v>
      </c>
      <c r="B14" s="56" t="s">
        <v>27</v>
      </c>
      <c r="C14" s="36" t="s">
        <v>372</v>
      </c>
      <c r="D14" s="37" t="s">
        <v>375</v>
      </c>
      <c r="E14" s="57" t="s">
        <v>28</v>
      </c>
      <c r="F14" s="57" t="s">
        <v>29</v>
      </c>
      <c r="G14" s="57" t="s">
        <v>28</v>
      </c>
      <c r="H14" s="57" t="s">
        <v>28</v>
      </c>
      <c r="I14" s="57" t="s">
        <v>28</v>
      </c>
      <c r="J14" s="57" t="s">
        <v>28</v>
      </c>
      <c r="K14" s="58">
        <v>534</v>
      </c>
      <c r="L14" s="58">
        <v>12320</v>
      </c>
      <c r="M14" s="57" t="s">
        <v>30</v>
      </c>
      <c r="N14" s="58">
        <v>7150</v>
      </c>
      <c r="O14" s="59" t="s">
        <v>31</v>
      </c>
      <c r="P14" s="58">
        <f>L14/100*72</f>
        <v>8870.4</v>
      </c>
      <c r="Q14" s="58">
        <v>5170</v>
      </c>
      <c r="R14" s="57" t="s">
        <v>31</v>
      </c>
      <c r="S14" s="56" t="s">
        <v>272</v>
      </c>
      <c r="T14" s="57" t="s">
        <v>29</v>
      </c>
      <c r="U14" s="58">
        <v>229</v>
      </c>
      <c r="V14" s="57" t="s">
        <v>29</v>
      </c>
      <c r="W14" s="58">
        <v>2974</v>
      </c>
      <c r="X14" s="58">
        <v>76</v>
      </c>
      <c r="Y14" s="58">
        <v>4411</v>
      </c>
      <c r="Z14" s="59" t="s">
        <v>30</v>
      </c>
      <c r="AA14" s="58">
        <v>8</v>
      </c>
      <c r="AB14" s="58">
        <v>409</v>
      </c>
      <c r="AC14" s="58">
        <v>70</v>
      </c>
      <c r="AD14" s="59" t="s">
        <v>31</v>
      </c>
      <c r="AE14" s="58">
        <v>40</v>
      </c>
      <c r="AF14" s="58">
        <v>1000</v>
      </c>
      <c r="AG14" s="59" t="s">
        <v>31</v>
      </c>
      <c r="AH14" s="58">
        <v>49</v>
      </c>
      <c r="AI14" s="58">
        <v>1616</v>
      </c>
      <c r="AJ14" s="59" t="s">
        <v>31</v>
      </c>
      <c r="AK14" s="56" t="s">
        <v>29</v>
      </c>
      <c r="AL14" s="60">
        <v>4.75</v>
      </c>
      <c r="AM14" s="60">
        <v>3</v>
      </c>
      <c r="AN14" s="57" t="s">
        <v>29</v>
      </c>
      <c r="AO14" s="57" t="s">
        <v>29</v>
      </c>
      <c r="AP14" s="57"/>
      <c r="AQ14" s="56" t="s">
        <v>29</v>
      </c>
      <c r="AR14" s="56" t="s">
        <v>28</v>
      </c>
      <c r="AS14" s="56" t="s">
        <v>28</v>
      </c>
      <c r="AT14" s="56" t="s">
        <v>29</v>
      </c>
      <c r="AU14" s="56" t="s">
        <v>29</v>
      </c>
      <c r="AV14" s="56" t="s">
        <v>29</v>
      </c>
      <c r="AW14" s="56" t="s">
        <v>29</v>
      </c>
      <c r="AX14" s="61" t="s">
        <v>451</v>
      </c>
      <c r="AY14" s="56" t="s">
        <v>227</v>
      </c>
      <c r="AZ14" s="58">
        <v>170</v>
      </c>
      <c r="BA14" s="59" t="s">
        <v>31</v>
      </c>
      <c r="BB14" s="81">
        <v>14000</v>
      </c>
      <c r="BC14" s="59" t="s">
        <v>31</v>
      </c>
      <c r="BD14" s="38">
        <f t="shared" si="3"/>
        <v>100000</v>
      </c>
      <c r="BE14" s="46">
        <v>4.75</v>
      </c>
      <c r="BF14" s="59" t="s">
        <v>30</v>
      </c>
      <c r="BG14" s="57" t="s">
        <v>29</v>
      </c>
      <c r="BH14" s="45">
        <f>P14/100*44*11.29</f>
        <v>44064.599039999994</v>
      </c>
      <c r="BI14" s="45">
        <f>P14/100*44*22.59</f>
        <v>88168.227839999992</v>
      </c>
      <c r="BJ14" s="45">
        <v>85218.315000000002</v>
      </c>
      <c r="BK14" s="86">
        <f t="shared" si="0"/>
        <v>217451.14187999998</v>
      </c>
      <c r="BL14" s="46">
        <f t="shared" si="4"/>
        <v>2.5329375000000001</v>
      </c>
      <c r="BM14" s="90">
        <f t="shared" si="1"/>
        <v>7.2829375000000001</v>
      </c>
      <c r="BN14" s="61" t="s">
        <v>273</v>
      </c>
      <c r="BO14" s="61" t="s">
        <v>274</v>
      </c>
    </row>
    <row r="15" spans="1:67" s="54" customFormat="1" ht="30">
      <c r="A15" s="55" t="s">
        <v>212</v>
      </c>
      <c r="B15" s="56" t="s">
        <v>27</v>
      </c>
      <c r="C15" s="36" t="s">
        <v>373</v>
      </c>
      <c r="D15" s="37" t="s">
        <v>377</v>
      </c>
      <c r="E15" s="57" t="s">
        <v>28</v>
      </c>
      <c r="F15" s="57" t="s">
        <v>29</v>
      </c>
      <c r="G15" s="57" t="s">
        <v>28</v>
      </c>
      <c r="H15" s="57" t="s">
        <v>28</v>
      </c>
      <c r="I15" s="57" t="s">
        <v>28</v>
      </c>
      <c r="J15" s="57" t="s">
        <v>28</v>
      </c>
      <c r="K15" s="58">
        <v>351</v>
      </c>
      <c r="L15" s="58">
        <v>832</v>
      </c>
      <c r="M15" s="57" t="s">
        <v>30</v>
      </c>
      <c r="N15" s="58">
        <v>680</v>
      </c>
      <c r="O15" s="59" t="s">
        <v>30</v>
      </c>
      <c r="P15" s="58">
        <f>L15/100*75</f>
        <v>624</v>
      </c>
      <c r="Q15" s="58">
        <v>152</v>
      </c>
      <c r="R15" s="57" t="s">
        <v>30</v>
      </c>
      <c r="S15" s="56" t="s">
        <v>28</v>
      </c>
      <c r="T15" s="57" t="s">
        <v>29</v>
      </c>
      <c r="U15" s="58"/>
      <c r="V15" s="57" t="s">
        <v>29</v>
      </c>
      <c r="W15" s="58">
        <v>572</v>
      </c>
      <c r="X15" s="58"/>
      <c r="Y15" s="58"/>
      <c r="Z15" s="59" t="s">
        <v>30</v>
      </c>
      <c r="AA15" s="58"/>
      <c r="AB15" s="58"/>
      <c r="AC15" s="58"/>
      <c r="AD15" s="59" t="s">
        <v>30</v>
      </c>
      <c r="AE15" s="58">
        <v>18</v>
      </c>
      <c r="AF15" s="58"/>
      <c r="AG15" s="59" t="s">
        <v>30</v>
      </c>
      <c r="AH15" s="58">
        <v>12</v>
      </c>
      <c r="AI15" s="58"/>
      <c r="AJ15" s="59" t="s">
        <v>30</v>
      </c>
      <c r="AK15" s="56" t="s">
        <v>29</v>
      </c>
      <c r="AL15" s="60">
        <v>1.5</v>
      </c>
      <c r="AM15" s="60">
        <v>0.2</v>
      </c>
      <c r="AN15" s="57" t="s">
        <v>29</v>
      </c>
      <c r="AO15" s="57" t="s">
        <v>29</v>
      </c>
      <c r="AP15" s="57" t="s">
        <v>28</v>
      </c>
      <c r="AQ15" s="56" t="s">
        <v>28</v>
      </c>
      <c r="AR15" s="56" t="s">
        <v>28</v>
      </c>
      <c r="AS15" s="56" t="s">
        <v>28</v>
      </c>
      <c r="AT15" s="56" t="s">
        <v>28</v>
      </c>
      <c r="AU15" s="56" t="s">
        <v>28</v>
      </c>
      <c r="AV15" s="56" t="s">
        <v>28</v>
      </c>
      <c r="AW15" s="56" t="s">
        <v>28</v>
      </c>
      <c r="AX15" s="56" t="s">
        <v>452</v>
      </c>
      <c r="AY15" s="56" t="s">
        <v>28</v>
      </c>
      <c r="AZ15" s="58">
        <v>50</v>
      </c>
      <c r="BA15" s="59" t="s">
        <v>31</v>
      </c>
      <c r="BB15" s="81">
        <v>2500</v>
      </c>
      <c r="BC15" s="59" t="s">
        <v>31</v>
      </c>
      <c r="BD15" s="38">
        <f t="shared" si="3"/>
        <v>17857.142857142859</v>
      </c>
      <c r="BE15" s="46">
        <v>0</v>
      </c>
      <c r="BF15" s="59" t="s">
        <v>30</v>
      </c>
      <c r="BG15" s="57" t="s">
        <v>28</v>
      </c>
      <c r="BH15" s="45">
        <f>P15/100*47*12.91</f>
        <v>3786.2448000000004</v>
      </c>
      <c r="BI15" s="45">
        <f>P15/100*47*25.82</f>
        <v>7572.4896000000008</v>
      </c>
      <c r="BJ15" s="45">
        <v>8985.4449999999997</v>
      </c>
      <c r="BK15" s="86">
        <f t="shared" si="0"/>
        <v>20344.179400000001</v>
      </c>
      <c r="BL15" s="46">
        <f t="shared" si="4"/>
        <v>0</v>
      </c>
      <c r="BM15" s="90">
        <f t="shared" si="1"/>
        <v>0</v>
      </c>
      <c r="BN15" s="61" t="s">
        <v>50</v>
      </c>
      <c r="BO15" s="61" t="s">
        <v>213</v>
      </c>
    </row>
    <row r="16" spans="1:67" s="54" customFormat="1" ht="45">
      <c r="A16" s="55" t="s">
        <v>392</v>
      </c>
      <c r="B16" s="56" t="s">
        <v>27</v>
      </c>
      <c r="C16" s="36" t="s">
        <v>370</v>
      </c>
      <c r="D16" s="37" t="s">
        <v>377</v>
      </c>
      <c r="E16" s="57" t="s">
        <v>28</v>
      </c>
      <c r="F16" s="57" t="s">
        <v>29</v>
      </c>
      <c r="G16" s="57" t="s">
        <v>28</v>
      </c>
      <c r="H16" s="57" t="s">
        <v>28</v>
      </c>
      <c r="I16" s="57" t="s">
        <v>28</v>
      </c>
      <c r="J16" s="57" t="s">
        <v>28</v>
      </c>
      <c r="K16" s="58">
        <v>372</v>
      </c>
      <c r="L16" s="58">
        <v>2763</v>
      </c>
      <c r="M16" s="57" t="s">
        <v>30</v>
      </c>
      <c r="N16" s="58">
        <v>1238</v>
      </c>
      <c r="O16" s="59" t="s">
        <v>30</v>
      </c>
      <c r="P16" s="58">
        <f>L16/100*75</f>
        <v>2072.25</v>
      </c>
      <c r="Q16" s="58">
        <v>594</v>
      </c>
      <c r="R16" s="57" t="s">
        <v>30</v>
      </c>
      <c r="S16" s="56" t="s">
        <v>28</v>
      </c>
      <c r="T16" s="57" t="s">
        <v>29</v>
      </c>
      <c r="U16" s="58"/>
      <c r="V16" s="57" t="s">
        <v>29</v>
      </c>
      <c r="W16" s="58">
        <v>1634</v>
      </c>
      <c r="X16" s="58">
        <v>12</v>
      </c>
      <c r="Y16" s="58">
        <v>489</v>
      </c>
      <c r="Z16" s="59" t="s">
        <v>30</v>
      </c>
      <c r="AA16" s="58">
        <v>7</v>
      </c>
      <c r="AB16" s="58">
        <v>615</v>
      </c>
      <c r="AC16" s="58">
        <v>18</v>
      </c>
      <c r="AD16" s="59" t="s">
        <v>30</v>
      </c>
      <c r="AE16" s="58">
        <v>4</v>
      </c>
      <c r="AF16" s="58">
        <v>80</v>
      </c>
      <c r="AG16" s="59" t="s">
        <v>30</v>
      </c>
      <c r="AH16" s="58">
        <v>11</v>
      </c>
      <c r="AI16" s="58">
        <v>274</v>
      </c>
      <c r="AJ16" s="59" t="s">
        <v>30</v>
      </c>
      <c r="AK16" s="56" t="s">
        <v>29</v>
      </c>
      <c r="AL16" s="60">
        <v>4</v>
      </c>
      <c r="AM16" s="60">
        <v>2</v>
      </c>
      <c r="AN16" s="57" t="s">
        <v>29</v>
      </c>
      <c r="AO16" s="57" t="s">
        <v>29</v>
      </c>
      <c r="AP16" s="57"/>
      <c r="AQ16" s="56" t="s">
        <v>28</v>
      </c>
      <c r="AR16" s="56" t="s">
        <v>29</v>
      </c>
      <c r="AS16" s="56" t="s">
        <v>28</v>
      </c>
      <c r="AT16" s="56" t="s">
        <v>29</v>
      </c>
      <c r="AU16" s="56" t="s">
        <v>28</v>
      </c>
      <c r="AV16" s="56" t="s">
        <v>28</v>
      </c>
      <c r="AW16" s="56" t="s">
        <v>28</v>
      </c>
      <c r="AX16" s="56" t="s">
        <v>28</v>
      </c>
      <c r="AY16" s="56" t="s">
        <v>28</v>
      </c>
      <c r="AZ16" s="58">
        <v>70</v>
      </c>
      <c r="BA16" s="59" t="s">
        <v>30</v>
      </c>
      <c r="BB16" s="81">
        <v>3807</v>
      </c>
      <c r="BC16" s="59" t="s">
        <v>30</v>
      </c>
      <c r="BD16" s="38">
        <f t="shared" si="3"/>
        <v>27192.857142857145</v>
      </c>
      <c r="BE16" s="46">
        <v>0.6</v>
      </c>
      <c r="BF16" s="59" t="s">
        <v>30</v>
      </c>
      <c r="BG16" s="57" t="s">
        <v>28</v>
      </c>
      <c r="BH16" s="45">
        <f>P16/100*47*17.99</f>
        <v>17521.495424999997</v>
      </c>
      <c r="BI16" s="45">
        <f>P16/100*47*35.98</f>
        <v>35042.990849999995</v>
      </c>
      <c r="BJ16" s="45">
        <v>50932.297500000001</v>
      </c>
      <c r="BK16" s="86">
        <f t="shared" si="0"/>
        <v>103496.78377499999</v>
      </c>
      <c r="BL16" s="46">
        <f t="shared" si="4"/>
        <v>0.31995000000000001</v>
      </c>
      <c r="BM16" s="90">
        <f t="shared" si="1"/>
        <v>0.91995000000000005</v>
      </c>
      <c r="BN16" s="61" t="s">
        <v>34</v>
      </c>
      <c r="BO16" s="61" t="s">
        <v>32</v>
      </c>
    </row>
    <row r="17" spans="1:67" s="54" customFormat="1" ht="90">
      <c r="A17" s="55" t="s">
        <v>181</v>
      </c>
      <c r="B17" s="56" t="s">
        <v>27</v>
      </c>
      <c r="C17" s="36" t="s">
        <v>370</v>
      </c>
      <c r="D17" s="37" t="s">
        <v>377</v>
      </c>
      <c r="E17" s="57" t="s">
        <v>28</v>
      </c>
      <c r="F17" s="57" t="s">
        <v>28</v>
      </c>
      <c r="G17" s="57" t="s">
        <v>29</v>
      </c>
      <c r="H17" s="57" t="s">
        <v>28</v>
      </c>
      <c r="I17" s="57" t="s">
        <v>28</v>
      </c>
      <c r="J17" s="57" t="s">
        <v>28</v>
      </c>
      <c r="K17" s="58">
        <v>140</v>
      </c>
      <c r="L17" s="58">
        <v>2726</v>
      </c>
      <c r="M17" s="57" t="s">
        <v>31</v>
      </c>
      <c r="N17" s="58">
        <v>1880</v>
      </c>
      <c r="O17" s="59" t="s">
        <v>31</v>
      </c>
      <c r="P17" s="58">
        <f>L17/100*75</f>
        <v>2044.5000000000002</v>
      </c>
      <c r="Q17" s="58">
        <v>846</v>
      </c>
      <c r="R17" s="57" t="s">
        <v>31</v>
      </c>
      <c r="S17" s="56" t="s">
        <v>182</v>
      </c>
      <c r="T17" s="57" t="s">
        <v>29</v>
      </c>
      <c r="U17" s="58">
        <v>27700</v>
      </c>
      <c r="V17" s="57" t="s">
        <v>29</v>
      </c>
      <c r="W17" s="58">
        <v>2751</v>
      </c>
      <c r="X17" s="58">
        <v>7</v>
      </c>
      <c r="Y17" s="58">
        <v>162</v>
      </c>
      <c r="Z17" s="59" t="s">
        <v>30</v>
      </c>
      <c r="AA17" s="58">
        <v>0</v>
      </c>
      <c r="AB17" s="58">
        <v>0</v>
      </c>
      <c r="AC17" s="58">
        <v>5</v>
      </c>
      <c r="AD17" s="59" t="s">
        <v>30</v>
      </c>
      <c r="AE17" s="58">
        <v>7</v>
      </c>
      <c r="AF17" s="58">
        <v>226</v>
      </c>
      <c r="AG17" s="59" t="s">
        <v>30</v>
      </c>
      <c r="AH17" s="58">
        <v>1</v>
      </c>
      <c r="AI17" s="58">
        <v>30</v>
      </c>
      <c r="AJ17" s="59" t="s">
        <v>30</v>
      </c>
      <c r="AK17" s="56" t="s">
        <v>29</v>
      </c>
      <c r="AL17" s="60">
        <v>3.5</v>
      </c>
      <c r="AM17" s="60">
        <v>1.5</v>
      </c>
      <c r="AN17" s="57" t="s">
        <v>29</v>
      </c>
      <c r="AO17" s="57" t="s">
        <v>29</v>
      </c>
      <c r="AP17" s="57"/>
      <c r="AQ17" s="56" t="s">
        <v>28</v>
      </c>
      <c r="AR17" s="56" t="s">
        <v>29</v>
      </c>
      <c r="AS17" s="56" t="s">
        <v>29</v>
      </c>
      <c r="AT17" s="56" t="s">
        <v>29</v>
      </c>
      <c r="AU17" s="56" t="s">
        <v>28</v>
      </c>
      <c r="AV17" s="56" t="s">
        <v>28</v>
      </c>
      <c r="AW17" s="56" t="s">
        <v>29</v>
      </c>
      <c r="AX17" s="56" t="s">
        <v>183</v>
      </c>
      <c r="AY17" s="56" t="s">
        <v>184</v>
      </c>
      <c r="AZ17" s="58">
        <v>65</v>
      </c>
      <c r="BA17" s="59" t="s">
        <v>30</v>
      </c>
      <c r="BB17" s="81">
        <v>2642</v>
      </c>
      <c r="BC17" s="59" t="s">
        <v>30</v>
      </c>
      <c r="BD17" s="38">
        <f t="shared" si="3"/>
        <v>18871.428571428572</v>
      </c>
      <c r="BE17" s="46">
        <v>2</v>
      </c>
      <c r="BF17" s="59" t="s">
        <v>30</v>
      </c>
      <c r="BG17" s="57" t="s">
        <v>28</v>
      </c>
      <c r="BH17" s="45">
        <f>P17/100*47*17.99</f>
        <v>17286.860850000001</v>
      </c>
      <c r="BI17" s="45">
        <f>P17/100*47*35.98</f>
        <v>34573.721700000002</v>
      </c>
      <c r="BJ17" s="45">
        <v>158302.62875</v>
      </c>
      <c r="BK17" s="86">
        <f t="shared" si="0"/>
        <v>210163.21130000002</v>
      </c>
      <c r="BL17" s="46">
        <f t="shared" si="4"/>
        <v>1.0665</v>
      </c>
      <c r="BM17" s="90">
        <f t="shared" si="1"/>
        <v>3.0665</v>
      </c>
      <c r="BN17" s="61" t="s">
        <v>185</v>
      </c>
      <c r="BO17" s="61" t="s">
        <v>186</v>
      </c>
    </row>
    <row r="18" spans="1:67" s="54" customFormat="1" ht="45">
      <c r="A18" s="55" t="s">
        <v>470</v>
      </c>
      <c r="B18" s="56" t="s">
        <v>27</v>
      </c>
      <c r="C18" s="36" t="s">
        <v>373</v>
      </c>
      <c r="D18" s="37" t="s">
        <v>377</v>
      </c>
      <c r="E18" s="57" t="s">
        <v>28</v>
      </c>
      <c r="F18" s="57" t="s">
        <v>28</v>
      </c>
      <c r="G18" s="57" t="s">
        <v>29</v>
      </c>
      <c r="H18" s="57" t="s">
        <v>28</v>
      </c>
      <c r="I18" s="57" t="s">
        <v>28</v>
      </c>
      <c r="J18" s="57" t="s">
        <v>28</v>
      </c>
      <c r="K18" s="58">
        <v>678</v>
      </c>
      <c r="L18" s="58">
        <v>1469</v>
      </c>
      <c r="M18" s="57" t="s">
        <v>31</v>
      </c>
      <c r="N18" s="58">
        <v>1096</v>
      </c>
      <c r="O18" s="59" t="s">
        <v>31</v>
      </c>
      <c r="P18" s="58">
        <f>L18/100*75</f>
        <v>1101.75</v>
      </c>
      <c r="Q18" s="58">
        <v>373</v>
      </c>
      <c r="R18" s="57" t="s">
        <v>31</v>
      </c>
      <c r="S18" s="56" t="s">
        <v>305</v>
      </c>
      <c r="T18" s="57" t="s">
        <v>29</v>
      </c>
      <c r="U18" s="58"/>
      <c r="V18" s="57" t="s">
        <v>29</v>
      </c>
      <c r="W18" s="58"/>
      <c r="X18" s="58">
        <v>0</v>
      </c>
      <c r="Y18" s="58">
        <v>0</v>
      </c>
      <c r="Z18" s="59" t="s">
        <v>30</v>
      </c>
      <c r="AA18" s="58">
        <v>0</v>
      </c>
      <c r="AB18" s="58">
        <v>0</v>
      </c>
      <c r="AC18" s="58">
        <v>0</v>
      </c>
      <c r="AD18" s="59" t="s">
        <v>30</v>
      </c>
      <c r="AE18" s="58">
        <v>5</v>
      </c>
      <c r="AF18" s="58">
        <v>393</v>
      </c>
      <c r="AG18" s="59" t="s">
        <v>31</v>
      </c>
      <c r="AH18" s="58">
        <v>4</v>
      </c>
      <c r="AI18" s="58">
        <v>267</v>
      </c>
      <c r="AJ18" s="59" t="s">
        <v>31</v>
      </c>
      <c r="AK18" s="56" t="s">
        <v>28</v>
      </c>
      <c r="AL18" s="60"/>
      <c r="AM18" s="60"/>
      <c r="AN18" s="57" t="s">
        <v>28</v>
      </c>
      <c r="AO18" s="57" t="s">
        <v>28</v>
      </c>
      <c r="AP18" s="57" t="s">
        <v>28</v>
      </c>
      <c r="AQ18" s="56" t="s">
        <v>28</v>
      </c>
      <c r="AR18" s="56" t="s">
        <v>28</v>
      </c>
      <c r="AS18" s="56" t="s">
        <v>28</v>
      </c>
      <c r="AT18" s="56" t="s">
        <v>29</v>
      </c>
      <c r="AU18" s="56" t="s">
        <v>28</v>
      </c>
      <c r="AV18" s="56" t="s">
        <v>28</v>
      </c>
      <c r="AW18" s="56" t="s">
        <v>28</v>
      </c>
      <c r="AX18" s="56" t="s">
        <v>28</v>
      </c>
      <c r="AY18" s="56" t="s">
        <v>28</v>
      </c>
      <c r="AZ18" s="58">
        <v>11</v>
      </c>
      <c r="BA18" s="59" t="s">
        <v>31</v>
      </c>
      <c r="BB18" s="81" t="s">
        <v>32</v>
      </c>
      <c r="BC18" s="59" t="s">
        <v>31</v>
      </c>
      <c r="BD18" s="38"/>
      <c r="BE18" s="46">
        <v>1</v>
      </c>
      <c r="BF18" s="59" t="s">
        <v>31</v>
      </c>
      <c r="BG18" s="57" t="s">
        <v>28</v>
      </c>
      <c r="BH18" s="45">
        <f>P18/100*47*12.91</f>
        <v>6685.0884749999996</v>
      </c>
      <c r="BI18" s="45">
        <f>P18/100*47*25.82</f>
        <v>13370.176949999999</v>
      </c>
      <c r="BJ18" s="45">
        <v>11890.199999999999</v>
      </c>
      <c r="BK18" s="86">
        <f t="shared" si="0"/>
        <v>31945.465424999995</v>
      </c>
      <c r="BL18" s="46">
        <f t="shared" si="4"/>
        <v>0.53325</v>
      </c>
      <c r="BM18" s="90">
        <f t="shared" si="1"/>
        <v>1.53325</v>
      </c>
      <c r="BN18" s="61" t="s">
        <v>476</v>
      </c>
      <c r="BO18" s="61" t="s">
        <v>32</v>
      </c>
    </row>
    <row r="19" spans="1:67" s="54" customFormat="1" ht="30">
      <c r="A19" s="55" t="s">
        <v>471</v>
      </c>
      <c r="B19" s="56" t="s">
        <v>27</v>
      </c>
      <c r="C19" s="36" t="s">
        <v>370</v>
      </c>
      <c r="D19" s="37" t="s">
        <v>375</v>
      </c>
      <c r="E19" s="57" t="s">
        <v>29</v>
      </c>
      <c r="F19" s="57" t="s">
        <v>28</v>
      </c>
      <c r="G19" s="57" t="s">
        <v>28</v>
      </c>
      <c r="H19" s="57" t="s">
        <v>28</v>
      </c>
      <c r="I19" s="57" t="s">
        <v>28</v>
      </c>
      <c r="J19" s="57" t="s">
        <v>28</v>
      </c>
      <c r="K19" s="58">
        <v>1820</v>
      </c>
      <c r="L19" s="58">
        <v>19419</v>
      </c>
      <c r="M19" s="57" t="s">
        <v>30</v>
      </c>
      <c r="N19" s="58">
        <v>12192</v>
      </c>
      <c r="O19" s="59" t="s">
        <v>30</v>
      </c>
      <c r="P19" s="58">
        <f>L19/100*72</f>
        <v>13981.68</v>
      </c>
      <c r="Q19" s="58">
        <v>7227</v>
      </c>
      <c r="R19" s="57" t="s">
        <v>30</v>
      </c>
      <c r="S19" s="56" t="s">
        <v>28</v>
      </c>
      <c r="T19" s="57" t="s">
        <v>29</v>
      </c>
      <c r="U19" s="58">
        <v>638421</v>
      </c>
      <c r="V19" s="57" t="s">
        <v>29</v>
      </c>
      <c r="W19" s="58">
        <v>27805</v>
      </c>
      <c r="X19" s="58">
        <v>83</v>
      </c>
      <c r="Y19" s="58">
        <v>2597</v>
      </c>
      <c r="Z19" s="59" t="s">
        <v>30</v>
      </c>
      <c r="AA19" s="58">
        <v>1</v>
      </c>
      <c r="AB19" s="58">
        <v>40</v>
      </c>
      <c r="AC19" s="58">
        <v>75</v>
      </c>
      <c r="AD19" s="59" t="s">
        <v>30</v>
      </c>
      <c r="AE19" s="58">
        <v>65</v>
      </c>
      <c r="AF19" s="58">
        <v>2312</v>
      </c>
      <c r="AG19" s="59" t="s">
        <v>31</v>
      </c>
      <c r="AH19" s="58">
        <v>52</v>
      </c>
      <c r="AI19" s="58"/>
      <c r="AJ19" s="59" t="s">
        <v>31</v>
      </c>
      <c r="AK19" s="56" t="s">
        <v>29</v>
      </c>
      <c r="AL19" s="60">
        <v>8</v>
      </c>
      <c r="AM19" s="60">
        <v>6</v>
      </c>
      <c r="AN19" s="57" t="s">
        <v>29</v>
      </c>
      <c r="AO19" s="57" t="s">
        <v>29</v>
      </c>
      <c r="AP19" s="57"/>
      <c r="AQ19" s="56" t="s">
        <v>28</v>
      </c>
      <c r="AR19" s="56" t="s">
        <v>29</v>
      </c>
      <c r="AS19" s="56" t="s">
        <v>28</v>
      </c>
      <c r="AT19" s="56" t="s">
        <v>29</v>
      </c>
      <c r="AU19" s="56" t="s">
        <v>28</v>
      </c>
      <c r="AV19" s="56" t="s">
        <v>29</v>
      </c>
      <c r="AW19" s="56" t="s">
        <v>29</v>
      </c>
      <c r="AX19" s="56" t="s">
        <v>28</v>
      </c>
      <c r="AY19" s="56" t="s">
        <v>227</v>
      </c>
      <c r="AZ19" s="58">
        <v>45</v>
      </c>
      <c r="BA19" s="59" t="s">
        <v>31</v>
      </c>
      <c r="BB19" s="81">
        <v>1876</v>
      </c>
      <c r="BC19" s="59" t="s">
        <v>31</v>
      </c>
      <c r="BD19" s="38">
        <f>BB19/7*50</f>
        <v>13400</v>
      </c>
      <c r="BE19" s="46">
        <v>4</v>
      </c>
      <c r="BF19" s="59" t="s">
        <v>30</v>
      </c>
      <c r="BG19" s="57" t="s">
        <v>28</v>
      </c>
      <c r="BH19" s="45">
        <f>P19/100*44*17.99</f>
        <v>110673.38620799998</v>
      </c>
      <c r="BI19" s="45">
        <f>P19/100*44*35.98</f>
        <v>221346.77241599996</v>
      </c>
      <c r="BJ19" s="45">
        <v>155971.52374999999</v>
      </c>
      <c r="BK19" s="86">
        <f t="shared" si="0"/>
        <v>487991.68237399991</v>
      </c>
      <c r="BL19" s="46">
        <f t="shared" si="4"/>
        <v>2.133</v>
      </c>
      <c r="BM19" s="90">
        <f t="shared" si="1"/>
        <v>6.133</v>
      </c>
      <c r="BN19" s="61" t="s">
        <v>311</v>
      </c>
      <c r="BO19" s="61" t="s">
        <v>312</v>
      </c>
    </row>
    <row r="20" spans="1:67" s="54" customFormat="1" ht="90">
      <c r="A20" s="55" t="s">
        <v>236</v>
      </c>
      <c r="B20" s="56" t="s">
        <v>27</v>
      </c>
      <c r="C20" s="36" t="s">
        <v>370</v>
      </c>
      <c r="D20" s="37" t="s">
        <v>377</v>
      </c>
      <c r="E20" s="57" t="s">
        <v>29</v>
      </c>
      <c r="F20" s="57" t="s">
        <v>28</v>
      </c>
      <c r="G20" s="57" t="s">
        <v>28</v>
      </c>
      <c r="H20" s="57" t="s">
        <v>28</v>
      </c>
      <c r="I20" s="57" t="s">
        <v>28</v>
      </c>
      <c r="J20" s="57" t="s">
        <v>28</v>
      </c>
      <c r="K20" s="58">
        <v>416</v>
      </c>
      <c r="L20" s="58">
        <v>1198</v>
      </c>
      <c r="M20" s="57" t="s">
        <v>30</v>
      </c>
      <c r="N20" s="58">
        <v>975</v>
      </c>
      <c r="O20" s="59" t="s">
        <v>30</v>
      </c>
      <c r="P20" s="58">
        <f>L20/100*75</f>
        <v>898.5</v>
      </c>
      <c r="Q20" s="58">
        <v>223</v>
      </c>
      <c r="R20" s="57" t="s">
        <v>30</v>
      </c>
      <c r="S20" s="56" t="s">
        <v>28</v>
      </c>
      <c r="T20" s="57" t="s">
        <v>29</v>
      </c>
      <c r="U20" s="58">
        <v>2243</v>
      </c>
      <c r="V20" s="57" t="s">
        <v>29</v>
      </c>
      <c r="W20" s="58">
        <v>920</v>
      </c>
      <c r="X20" s="58">
        <v>2</v>
      </c>
      <c r="Y20" s="58">
        <v>100</v>
      </c>
      <c r="Z20" s="59" t="s">
        <v>30</v>
      </c>
      <c r="AA20" s="58">
        <v>1</v>
      </c>
      <c r="AB20" s="58">
        <v>72</v>
      </c>
      <c r="AC20" s="58">
        <v>2</v>
      </c>
      <c r="AD20" s="59" t="s">
        <v>30</v>
      </c>
      <c r="AE20" s="58">
        <v>9</v>
      </c>
      <c r="AF20" s="58">
        <v>133</v>
      </c>
      <c r="AG20" s="59" t="s">
        <v>30</v>
      </c>
      <c r="AH20" s="58">
        <v>4</v>
      </c>
      <c r="AI20" s="58">
        <v>167</v>
      </c>
      <c r="AJ20" s="59" t="s">
        <v>30</v>
      </c>
      <c r="AK20" s="56" t="s">
        <v>28</v>
      </c>
      <c r="AL20" s="60"/>
      <c r="AM20" s="60"/>
      <c r="AN20" s="57" t="s">
        <v>29</v>
      </c>
      <c r="AO20" s="57" t="s">
        <v>28</v>
      </c>
      <c r="AP20" s="57" t="s">
        <v>28</v>
      </c>
      <c r="AQ20" s="56" t="s">
        <v>28</v>
      </c>
      <c r="AR20" s="56" t="s">
        <v>28</v>
      </c>
      <c r="AS20" s="56" t="s">
        <v>29</v>
      </c>
      <c r="AT20" s="56" t="s">
        <v>28</v>
      </c>
      <c r="AU20" s="56" t="s">
        <v>29</v>
      </c>
      <c r="AV20" s="56" t="s">
        <v>28</v>
      </c>
      <c r="AW20" s="56" t="s">
        <v>28</v>
      </c>
      <c r="AX20" s="56" t="s">
        <v>28</v>
      </c>
      <c r="AY20" s="56" t="s">
        <v>28</v>
      </c>
      <c r="AZ20" s="58">
        <v>21</v>
      </c>
      <c r="BA20" s="59" t="s">
        <v>30</v>
      </c>
      <c r="BB20" s="81">
        <v>3732</v>
      </c>
      <c r="BC20" s="59" t="s">
        <v>30</v>
      </c>
      <c r="BD20" s="38">
        <f>BB20/7*50</f>
        <v>26657.142857142855</v>
      </c>
      <c r="BE20" s="46">
        <v>0</v>
      </c>
      <c r="BF20" s="59" t="s">
        <v>30</v>
      </c>
      <c r="BG20" s="57" t="s">
        <v>29</v>
      </c>
      <c r="BH20" s="45">
        <f>P20/100*47*17.99</f>
        <v>7597.0870499999983</v>
      </c>
      <c r="BI20" s="45">
        <f>P20/100*47*35.98</f>
        <v>15194.174099999997</v>
      </c>
      <c r="BJ20" s="45">
        <v>3393.374425</v>
      </c>
      <c r="BK20" s="86">
        <f t="shared" si="0"/>
        <v>26184.635574999993</v>
      </c>
      <c r="BL20" s="46">
        <f t="shared" si="4"/>
        <v>0</v>
      </c>
      <c r="BM20" s="90">
        <f t="shared" si="1"/>
        <v>0</v>
      </c>
      <c r="BN20" s="61" t="s">
        <v>237</v>
      </c>
      <c r="BO20" s="61" t="s">
        <v>238</v>
      </c>
    </row>
    <row r="21" spans="1:67" s="54" customFormat="1" ht="30">
      <c r="A21" s="55" t="s">
        <v>71</v>
      </c>
      <c r="B21" s="56" t="s">
        <v>42</v>
      </c>
      <c r="C21" s="36" t="s">
        <v>373</v>
      </c>
      <c r="D21" s="37" t="s">
        <v>378</v>
      </c>
      <c r="E21" s="57" t="s">
        <v>29</v>
      </c>
      <c r="F21" s="57" t="s">
        <v>28</v>
      </c>
      <c r="G21" s="57" t="s">
        <v>28</v>
      </c>
      <c r="H21" s="57" t="s">
        <v>28</v>
      </c>
      <c r="I21" s="57" t="s">
        <v>28</v>
      </c>
      <c r="J21" s="57" t="s">
        <v>28</v>
      </c>
      <c r="K21" s="58">
        <v>2190</v>
      </c>
      <c r="L21" s="58">
        <v>56669</v>
      </c>
      <c r="M21" s="57" t="s">
        <v>30</v>
      </c>
      <c r="N21" s="58">
        <v>42502</v>
      </c>
      <c r="O21" s="59" t="s">
        <v>31</v>
      </c>
      <c r="P21" s="58">
        <f>L21/100*61</f>
        <v>34568.090000000004</v>
      </c>
      <c r="Q21" s="58">
        <v>14167</v>
      </c>
      <c r="R21" s="57" t="s">
        <v>31</v>
      </c>
      <c r="S21" s="56" t="s">
        <v>72</v>
      </c>
      <c r="T21" s="57" t="s">
        <v>28</v>
      </c>
      <c r="U21" s="58">
        <v>32852</v>
      </c>
      <c r="V21" s="57" t="s">
        <v>29</v>
      </c>
      <c r="W21" s="58">
        <v>3656</v>
      </c>
      <c r="X21" s="58"/>
      <c r="Y21" s="58">
        <v>8847</v>
      </c>
      <c r="Z21" s="59" t="s">
        <v>30</v>
      </c>
      <c r="AA21" s="58"/>
      <c r="AB21" s="58">
        <v>4051</v>
      </c>
      <c r="AC21" s="58">
        <v>35</v>
      </c>
      <c r="AD21" s="59" t="s">
        <v>31</v>
      </c>
      <c r="AE21" s="58"/>
      <c r="AF21" s="58">
        <v>7159</v>
      </c>
      <c r="AG21" s="59" t="s">
        <v>31</v>
      </c>
      <c r="AH21" s="58"/>
      <c r="AI21" s="58">
        <v>1500</v>
      </c>
      <c r="AJ21" s="59" t="s">
        <v>31</v>
      </c>
      <c r="AK21" s="56" t="s">
        <v>28</v>
      </c>
      <c r="AL21" s="60"/>
      <c r="AM21" s="60"/>
      <c r="AN21" s="57" t="s">
        <v>29</v>
      </c>
      <c r="AO21" s="57" t="s">
        <v>28</v>
      </c>
      <c r="AP21" s="57" t="s">
        <v>28</v>
      </c>
      <c r="AQ21" s="56" t="s">
        <v>28</v>
      </c>
      <c r="AR21" s="56" t="s">
        <v>29</v>
      </c>
      <c r="AS21" s="56" t="s">
        <v>28</v>
      </c>
      <c r="AT21" s="56" t="s">
        <v>29</v>
      </c>
      <c r="AU21" s="56" t="s">
        <v>28</v>
      </c>
      <c r="AV21" s="56" t="s">
        <v>29</v>
      </c>
      <c r="AW21" s="56" t="s">
        <v>28</v>
      </c>
      <c r="AX21" s="56" t="s">
        <v>28</v>
      </c>
      <c r="AY21" s="56" t="s">
        <v>28</v>
      </c>
      <c r="AZ21" s="58">
        <v>45</v>
      </c>
      <c r="BA21" s="59" t="s">
        <v>31</v>
      </c>
      <c r="BB21" s="81" t="s">
        <v>32</v>
      </c>
      <c r="BC21" s="59" t="s">
        <v>31</v>
      </c>
      <c r="BD21" s="38"/>
      <c r="BE21" s="46">
        <v>15</v>
      </c>
      <c r="BF21" s="59" t="s">
        <v>31</v>
      </c>
      <c r="BG21" s="57" t="s">
        <v>73</v>
      </c>
      <c r="BH21" s="45">
        <f>P21/100*31*12.91</f>
        <v>138344.95298900004</v>
      </c>
      <c r="BI21" s="45">
        <f>P21/100*31*25.82</f>
        <v>276689.90597800008</v>
      </c>
      <c r="BJ21" s="45">
        <v>125061.53875000001</v>
      </c>
      <c r="BK21" s="86">
        <f t="shared" si="0"/>
        <v>540096.39771700022</v>
      </c>
      <c r="BL21" s="46">
        <f>BE21*(1-0.25)*(1-0.25)*(1-0.375)*1.2</f>
        <v>6.328125</v>
      </c>
      <c r="BM21" s="90">
        <f t="shared" si="1"/>
        <v>21.328125</v>
      </c>
      <c r="BN21" s="61" t="s">
        <v>32</v>
      </c>
      <c r="BO21" s="61" t="s">
        <v>74</v>
      </c>
    </row>
    <row r="22" spans="1:67" s="54" customFormat="1" ht="45">
      <c r="A22" s="55" t="s">
        <v>342</v>
      </c>
      <c r="B22" s="56" t="s">
        <v>42</v>
      </c>
      <c r="C22" s="62" t="s">
        <v>371</v>
      </c>
      <c r="D22" s="37" t="s">
        <v>375</v>
      </c>
      <c r="E22" s="57" t="s">
        <v>29</v>
      </c>
      <c r="F22" s="57" t="s">
        <v>28</v>
      </c>
      <c r="G22" s="57" t="s">
        <v>28</v>
      </c>
      <c r="H22" s="57" t="s">
        <v>28</v>
      </c>
      <c r="I22" s="57" t="s">
        <v>28</v>
      </c>
      <c r="J22" s="57" t="s">
        <v>28</v>
      </c>
      <c r="K22" s="58">
        <v>2025</v>
      </c>
      <c r="L22" s="58">
        <v>46549</v>
      </c>
      <c r="M22" s="57" t="s">
        <v>30</v>
      </c>
      <c r="N22" s="58">
        <v>35653</v>
      </c>
      <c r="O22" s="59" t="s">
        <v>31</v>
      </c>
      <c r="P22" s="58">
        <f>L22/100*72</f>
        <v>33515.279999999999</v>
      </c>
      <c r="Q22" s="58">
        <v>10896</v>
      </c>
      <c r="R22" s="57" t="s">
        <v>31</v>
      </c>
      <c r="S22" s="56" t="s">
        <v>28</v>
      </c>
      <c r="T22" s="57" t="s">
        <v>29</v>
      </c>
      <c r="U22" s="58">
        <v>20442</v>
      </c>
      <c r="V22" s="57" t="s">
        <v>28</v>
      </c>
      <c r="W22" s="58"/>
      <c r="X22" s="58">
        <v>141</v>
      </c>
      <c r="Y22" s="58">
        <v>4125</v>
      </c>
      <c r="Z22" s="59" t="s">
        <v>31</v>
      </c>
      <c r="AA22" s="58">
        <v>9</v>
      </c>
      <c r="AB22" s="58">
        <v>357</v>
      </c>
      <c r="AC22" s="58"/>
      <c r="AD22" s="59" t="s">
        <v>31</v>
      </c>
      <c r="AE22" s="58">
        <v>25</v>
      </c>
      <c r="AF22" s="58">
        <v>1951</v>
      </c>
      <c r="AG22" s="59" t="s">
        <v>31</v>
      </c>
      <c r="AH22" s="58">
        <v>1</v>
      </c>
      <c r="AI22" s="58">
        <v>247</v>
      </c>
      <c r="AJ22" s="59" t="s">
        <v>31</v>
      </c>
      <c r="AK22" s="56" t="s">
        <v>28</v>
      </c>
      <c r="AL22" s="60"/>
      <c r="AM22" s="60"/>
      <c r="AN22" s="57" t="s">
        <v>29</v>
      </c>
      <c r="AO22" s="57" t="s">
        <v>28</v>
      </c>
      <c r="AP22" s="57" t="s">
        <v>28</v>
      </c>
      <c r="AQ22" s="56" t="s">
        <v>29</v>
      </c>
      <c r="AR22" s="56" t="s">
        <v>28</v>
      </c>
      <c r="AS22" s="56" t="s">
        <v>28</v>
      </c>
      <c r="AT22" s="56" t="s">
        <v>29</v>
      </c>
      <c r="AU22" s="56" t="s">
        <v>28</v>
      </c>
      <c r="AV22" s="56" t="s">
        <v>28</v>
      </c>
      <c r="AW22" s="56" t="s">
        <v>28</v>
      </c>
      <c r="AX22" s="56" t="s">
        <v>339</v>
      </c>
      <c r="AY22" s="56" t="s">
        <v>28</v>
      </c>
      <c r="AZ22" s="58">
        <v>9</v>
      </c>
      <c r="BA22" s="59" t="s">
        <v>31</v>
      </c>
      <c r="BB22" s="81">
        <v>256</v>
      </c>
      <c r="BC22" s="59" t="s">
        <v>31</v>
      </c>
      <c r="BD22" s="38">
        <f t="shared" ref="BD22:BD38" si="5">BB22/7*50</f>
        <v>1828.5714285714284</v>
      </c>
      <c r="BE22" s="46">
        <v>10.1</v>
      </c>
      <c r="BF22" s="59" t="s">
        <v>31</v>
      </c>
      <c r="BG22" s="57" t="s">
        <v>29</v>
      </c>
      <c r="BH22" s="45">
        <f>P22/100*44*12.86</f>
        <v>189642.86035199999</v>
      </c>
      <c r="BI22" s="45">
        <f>P22/100*44*25.73</f>
        <v>379433.187936</v>
      </c>
      <c r="BJ22" s="45">
        <v>168380.74662499997</v>
      </c>
      <c r="BK22" s="86">
        <f t="shared" si="0"/>
        <v>737456.79491299996</v>
      </c>
      <c r="BL22" s="46">
        <f>BE22*(1-0.25)*(1-0.21)*(1-0.25)*1.2</f>
        <v>5.3858249999999996</v>
      </c>
      <c r="BM22" s="90">
        <f t="shared" si="1"/>
        <v>15.485824999999998</v>
      </c>
      <c r="BN22" s="61" t="s">
        <v>32</v>
      </c>
      <c r="BO22" s="61" t="s">
        <v>32</v>
      </c>
    </row>
    <row r="23" spans="1:67" s="54" customFormat="1" ht="60">
      <c r="A23" s="55" t="s">
        <v>192</v>
      </c>
      <c r="B23" s="56" t="s">
        <v>27</v>
      </c>
      <c r="C23" s="62" t="s">
        <v>371</v>
      </c>
      <c r="D23" s="37" t="s">
        <v>377</v>
      </c>
      <c r="E23" s="57" t="s">
        <v>28</v>
      </c>
      <c r="F23" s="57" t="s">
        <v>29</v>
      </c>
      <c r="G23" s="57" t="s">
        <v>28</v>
      </c>
      <c r="H23" s="57" t="s">
        <v>28</v>
      </c>
      <c r="I23" s="57" t="s">
        <v>28</v>
      </c>
      <c r="J23" s="57" t="s">
        <v>28</v>
      </c>
      <c r="K23" s="58">
        <v>364.5</v>
      </c>
      <c r="L23" s="58">
        <v>1207</v>
      </c>
      <c r="M23" s="57" t="s">
        <v>30</v>
      </c>
      <c r="N23" s="58">
        <v>1134</v>
      </c>
      <c r="O23" s="59" t="s">
        <v>30</v>
      </c>
      <c r="P23" s="58">
        <f>L23/100*75</f>
        <v>905.25</v>
      </c>
      <c r="Q23" s="58">
        <v>73</v>
      </c>
      <c r="R23" s="57" t="s">
        <v>30</v>
      </c>
      <c r="S23" s="56" t="s">
        <v>193</v>
      </c>
      <c r="T23" s="57" t="s">
        <v>29</v>
      </c>
      <c r="U23" s="58"/>
      <c r="V23" s="57" t="s">
        <v>29</v>
      </c>
      <c r="W23" s="58">
        <v>91</v>
      </c>
      <c r="X23" s="58">
        <v>2</v>
      </c>
      <c r="Y23" s="58">
        <v>26</v>
      </c>
      <c r="Z23" s="59" t="s">
        <v>30</v>
      </c>
      <c r="AA23" s="58">
        <v>1</v>
      </c>
      <c r="AB23" s="58">
        <v>26</v>
      </c>
      <c r="AC23" s="58">
        <v>1</v>
      </c>
      <c r="AD23" s="59" t="s">
        <v>30</v>
      </c>
      <c r="AE23" s="58"/>
      <c r="AF23" s="58">
        <v>0</v>
      </c>
      <c r="AG23" s="59" t="s">
        <v>30</v>
      </c>
      <c r="AH23" s="58">
        <v>0</v>
      </c>
      <c r="AI23" s="58">
        <v>0</v>
      </c>
      <c r="AJ23" s="59" t="s">
        <v>30</v>
      </c>
      <c r="AK23" s="56" t="s">
        <v>29</v>
      </c>
      <c r="AL23" s="60">
        <v>1</v>
      </c>
      <c r="AM23" s="60">
        <v>0</v>
      </c>
      <c r="AN23" s="57" t="s">
        <v>29</v>
      </c>
      <c r="AO23" s="57" t="s">
        <v>28</v>
      </c>
      <c r="AP23" s="57" t="s">
        <v>28</v>
      </c>
      <c r="AQ23" s="56" t="s">
        <v>28</v>
      </c>
      <c r="AR23" s="56" t="s">
        <v>28</v>
      </c>
      <c r="AS23" s="56" t="s">
        <v>28</v>
      </c>
      <c r="AT23" s="56" t="s">
        <v>29</v>
      </c>
      <c r="AU23" s="56" t="s">
        <v>28</v>
      </c>
      <c r="AV23" s="56" t="s">
        <v>28</v>
      </c>
      <c r="AW23" s="56" t="s">
        <v>28</v>
      </c>
      <c r="AX23" s="56" t="s">
        <v>28</v>
      </c>
      <c r="AY23" s="56" t="s">
        <v>28</v>
      </c>
      <c r="AZ23" s="58">
        <v>45</v>
      </c>
      <c r="BA23" s="59" t="s">
        <v>31</v>
      </c>
      <c r="BB23" s="81">
        <v>720</v>
      </c>
      <c r="BC23" s="59" t="s">
        <v>31</v>
      </c>
      <c r="BD23" s="38">
        <f t="shared" si="5"/>
        <v>5142.8571428571431</v>
      </c>
      <c r="BE23" s="46">
        <v>0</v>
      </c>
      <c r="BF23" s="59" t="s">
        <v>30</v>
      </c>
      <c r="BG23" s="57" t="s">
        <v>73</v>
      </c>
      <c r="BH23" s="45">
        <f>P23/100*47*12.86</f>
        <v>5471.5120500000003</v>
      </c>
      <c r="BI23" s="45">
        <f>P23/100*47*23.73</f>
        <v>10096.343775000001</v>
      </c>
      <c r="BJ23" s="45">
        <v>4569.6437499999993</v>
      </c>
      <c r="BK23" s="86">
        <f t="shared" si="0"/>
        <v>20137.499575000002</v>
      </c>
      <c r="BL23" s="46">
        <f>BE23*(1-0.25)*(1-0.21)*(1-0.25)*1.2</f>
        <v>0</v>
      </c>
      <c r="BM23" s="90">
        <f t="shared" si="1"/>
        <v>0</v>
      </c>
      <c r="BN23" s="61" t="s">
        <v>32</v>
      </c>
      <c r="BO23" s="61" t="s">
        <v>194</v>
      </c>
    </row>
    <row r="24" spans="1:67" s="54" customFormat="1" ht="45">
      <c r="A24" s="55" t="s">
        <v>338</v>
      </c>
      <c r="B24" s="56" t="s">
        <v>42</v>
      </c>
      <c r="C24" s="36" t="s">
        <v>373</v>
      </c>
      <c r="D24" s="37" t="s">
        <v>378</v>
      </c>
      <c r="E24" s="57" t="s">
        <v>29</v>
      </c>
      <c r="F24" s="57" t="s">
        <v>28</v>
      </c>
      <c r="G24" s="57" t="s">
        <v>28</v>
      </c>
      <c r="H24" s="57" t="s">
        <v>28</v>
      </c>
      <c r="I24" s="57" t="s">
        <v>28</v>
      </c>
      <c r="J24" s="57" t="s">
        <v>28</v>
      </c>
      <c r="K24" s="58">
        <v>2491</v>
      </c>
      <c r="L24" s="58">
        <v>90671</v>
      </c>
      <c r="M24" s="57" t="s">
        <v>30</v>
      </c>
      <c r="N24" s="58">
        <v>45493</v>
      </c>
      <c r="O24" s="59" t="s">
        <v>31</v>
      </c>
      <c r="P24" s="58">
        <f>L24/100*61</f>
        <v>55309.310000000005</v>
      </c>
      <c r="Q24" s="58">
        <v>45178</v>
      </c>
      <c r="R24" s="57" t="s">
        <v>31</v>
      </c>
      <c r="S24" s="56" t="s">
        <v>28</v>
      </c>
      <c r="T24" s="57" t="s">
        <v>29</v>
      </c>
      <c r="U24" s="58">
        <v>39819</v>
      </c>
      <c r="V24" s="57" t="s">
        <v>28</v>
      </c>
      <c r="W24" s="58"/>
      <c r="X24" s="58">
        <v>276</v>
      </c>
      <c r="Y24" s="58">
        <v>8035</v>
      </c>
      <c r="Z24" s="59" t="s">
        <v>31</v>
      </c>
      <c r="AA24" s="58">
        <v>18</v>
      </c>
      <c r="AB24" s="58">
        <v>696</v>
      </c>
      <c r="AC24" s="58"/>
      <c r="AD24" s="59" t="s">
        <v>31</v>
      </c>
      <c r="AE24" s="58">
        <v>50</v>
      </c>
      <c r="AF24" s="58">
        <v>3801</v>
      </c>
      <c r="AG24" s="59" t="s">
        <v>31</v>
      </c>
      <c r="AH24" s="58">
        <v>2</v>
      </c>
      <c r="AI24" s="58">
        <v>481</v>
      </c>
      <c r="AJ24" s="59" t="s">
        <v>31</v>
      </c>
      <c r="AK24" s="56" t="s">
        <v>29</v>
      </c>
      <c r="AL24" s="60">
        <v>7.75</v>
      </c>
      <c r="AM24" s="60">
        <v>4.8</v>
      </c>
      <c r="AN24" s="57" t="s">
        <v>29</v>
      </c>
      <c r="AO24" s="57" t="s">
        <v>29</v>
      </c>
      <c r="AP24" s="57"/>
      <c r="AQ24" s="56" t="s">
        <v>29</v>
      </c>
      <c r="AR24" s="56" t="s">
        <v>28</v>
      </c>
      <c r="AS24" s="56" t="s">
        <v>28</v>
      </c>
      <c r="AT24" s="56" t="s">
        <v>29</v>
      </c>
      <c r="AU24" s="56" t="s">
        <v>28</v>
      </c>
      <c r="AV24" s="56" t="s">
        <v>28</v>
      </c>
      <c r="AW24" s="56" t="s">
        <v>28</v>
      </c>
      <c r="AX24" s="56" t="s">
        <v>339</v>
      </c>
      <c r="AY24" s="56" t="s">
        <v>28</v>
      </c>
      <c r="AZ24" s="58">
        <v>17</v>
      </c>
      <c r="BA24" s="59" t="s">
        <v>31</v>
      </c>
      <c r="BB24" s="81">
        <v>499</v>
      </c>
      <c r="BC24" s="59" t="s">
        <v>31</v>
      </c>
      <c r="BD24" s="38">
        <f t="shared" si="5"/>
        <v>3564.2857142857147</v>
      </c>
      <c r="BE24" s="46">
        <v>19.8</v>
      </c>
      <c r="BF24" s="59" t="s">
        <v>31</v>
      </c>
      <c r="BG24" s="57" t="s">
        <v>29</v>
      </c>
      <c r="BH24" s="45">
        <f>P24/100*31*12.91</f>
        <v>221353.38955100006</v>
      </c>
      <c r="BI24" s="45">
        <f>P24/100*31*25.82</f>
        <v>442706.77910200012</v>
      </c>
      <c r="BJ24" s="45">
        <v>306756.29091249994</v>
      </c>
      <c r="BK24" s="86">
        <f t="shared" si="0"/>
        <v>970816.45956550003</v>
      </c>
      <c r="BL24" s="46">
        <f>BE24*(1-0.25)*(1-0.25)*(1-0.375)*1.2</f>
        <v>8.3531250000000004</v>
      </c>
      <c r="BM24" s="90">
        <f t="shared" si="1"/>
        <v>28.153125000000003</v>
      </c>
      <c r="BN24" s="61" t="s">
        <v>32</v>
      </c>
      <c r="BO24" s="61" t="s">
        <v>32</v>
      </c>
    </row>
    <row r="25" spans="1:67" s="54" customFormat="1" ht="30">
      <c r="A25" s="55" t="s">
        <v>83</v>
      </c>
      <c r="B25" s="56" t="s">
        <v>27</v>
      </c>
      <c r="C25" s="36" t="s">
        <v>373</v>
      </c>
      <c r="D25" s="37" t="s">
        <v>377</v>
      </c>
      <c r="E25" s="57" t="s">
        <v>29</v>
      </c>
      <c r="F25" s="57" t="s">
        <v>28</v>
      </c>
      <c r="G25" s="57" t="s">
        <v>28</v>
      </c>
      <c r="H25" s="57" t="s">
        <v>28</v>
      </c>
      <c r="I25" s="57" t="s">
        <v>28</v>
      </c>
      <c r="J25" s="57" t="s">
        <v>28</v>
      </c>
      <c r="K25" s="58">
        <v>2200</v>
      </c>
      <c r="L25" s="58">
        <v>9880</v>
      </c>
      <c r="M25" s="57" t="s">
        <v>30</v>
      </c>
      <c r="N25" s="58">
        <v>7410</v>
      </c>
      <c r="O25" s="59" t="s">
        <v>30</v>
      </c>
      <c r="P25" s="58">
        <f>L25/100*75</f>
        <v>7410</v>
      </c>
      <c r="Q25" s="58">
        <v>2470</v>
      </c>
      <c r="R25" s="57" t="s">
        <v>30</v>
      </c>
      <c r="S25" s="56" t="s">
        <v>28</v>
      </c>
      <c r="T25" s="57" t="s">
        <v>29</v>
      </c>
      <c r="U25" s="58"/>
      <c r="V25" s="57" t="s">
        <v>29</v>
      </c>
      <c r="W25" s="58"/>
      <c r="X25" s="58">
        <v>12</v>
      </c>
      <c r="Y25" s="58">
        <v>300</v>
      </c>
      <c r="Z25" s="59" t="s">
        <v>31</v>
      </c>
      <c r="AA25" s="58">
        <v>0</v>
      </c>
      <c r="AB25" s="58">
        <v>0</v>
      </c>
      <c r="AC25" s="58">
        <v>0</v>
      </c>
      <c r="AD25" s="59" t="s">
        <v>30</v>
      </c>
      <c r="AE25" s="58">
        <v>20</v>
      </c>
      <c r="AF25" s="58">
        <v>600</v>
      </c>
      <c r="AG25" s="59" t="s">
        <v>31</v>
      </c>
      <c r="AH25" s="58">
        <v>0</v>
      </c>
      <c r="AI25" s="58">
        <v>0</v>
      </c>
      <c r="AJ25" s="59" t="s">
        <v>30</v>
      </c>
      <c r="AK25" s="56" t="s">
        <v>29</v>
      </c>
      <c r="AL25" s="60">
        <v>5.75</v>
      </c>
      <c r="AM25" s="60">
        <v>4</v>
      </c>
      <c r="AN25" s="57" t="s">
        <v>29</v>
      </c>
      <c r="AO25" s="57" t="s">
        <v>29</v>
      </c>
      <c r="AP25" s="57"/>
      <c r="AQ25" s="56" t="s">
        <v>28</v>
      </c>
      <c r="AR25" s="56" t="s">
        <v>28</v>
      </c>
      <c r="AS25" s="56" t="s">
        <v>28</v>
      </c>
      <c r="AT25" s="56" t="s">
        <v>29</v>
      </c>
      <c r="AU25" s="56" t="s">
        <v>28</v>
      </c>
      <c r="AV25" s="56" t="s">
        <v>29</v>
      </c>
      <c r="AW25" s="56" t="s">
        <v>29</v>
      </c>
      <c r="AX25" s="56" t="s">
        <v>28</v>
      </c>
      <c r="AY25" s="56" t="s">
        <v>28</v>
      </c>
      <c r="AZ25" s="58">
        <v>10</v>
      </c>
      <c r="BA25" s="59" t="s">
        <v>30</v>
      </c>
      <c r="BB25" s="81">
        <v>1000</v>
      </c>
      <c r="BC25" s="59" t="s">
        <v>31</v>
      </c>
      <c r="BD25" s="38">
        <f t="shared" si="5"/>
        <v>7142.8571428571431</v>
      </c>
      <c r="BE25" s="46">
        <v>2.5</v>
      </c>
      <c r="BF25" s="59" t="s">
        <v>30</v>
      </c>
      <c r="BG25" s="57" t="s">
        <v>28</v>
      </c>
      <c r="BH25" s="45">
        <f>P25/100*47*12.91</f>
        <v>44961.656999999999</v>
      </c>
      <c r="BI25" s="45">
        <f>P25/100*47*25.82</f>
        <v>89923.313999999998</v>
      </c>
      <c r="BJ25" s="45">
        <v>52572.415000000001</v>
      </c>
      <c r="BK25" s="86">
        <f t="shared" si="0"/>
        <v>187457.386</v>
      </c>
      <c r="BL25" s="46">
        <f t="shared" ref="BL25:BL44" si="6">BE25*(1-0.25)*(1-0.21)*(1-0.25)*1.2</f>
        <v>1.3331250000000001</v>
      </c>
      <c r="BM25" s="90">
        <f t="shared" si="1"/>
        <v>3.8331249999999999</v>
      </c>
      <c r="BN25" s="61" t="s">
        <v>84</v>
      </c>
      <c r="BO25" s="61" t="s">
        <v>85</v>
      </c>
    </row>
    <row r="26" spans="1:67" s="54" customFormat="1" ht="45">
      <c r="A26" s="55" t="s">
        <v>348</v>
      </c>
      <c r="B26" s="56" t="s">
        <v>42</v>
      </c>
      <c r="C26" s="36" t="s">
        <v>369</v>
      </c>
      <c r="D26" s="37" t="s">
        <v>375</v>
      </c>
      <c r="E26" s="57" t="s">
        <v>28</v>
      </c>
      <c r="F26" s="57" t="s">
        <v>29</v>
      </c>
      <c r="G26" s="57" t="s">
        <v>28</v>
      </c>
      <c r="H26" s="57" t="s">
        <v>28</v>
      </c>
      <c r="I26" s="57" t="s">
        <v>28</v>
      </c>
      <c r="J26" s="57" t="s">
        <v>28</v>
      </c>
      <c r="K26" s="58">
        <v>1440</v>
      </c>
      <c r="L26" s="58">
        <v>14340</v>
      </c>
      <c r="M26" s="57" t="s">
        <v>30</v>
      </c>
      <c r="N26" s="58">
        <v>11265</v>
      </c>
      <c r="O26" s="59" t="s">
        <v>31</v>
      </c>
      <c r="P26" s="58">
        <f>L26/100*72</f>
        <v>10324.800000000001</v>
      </c>
      <c r="Q26" s="58">
        <v>3075</v>
      </c>
      <c r="R26" s="57" t="s">
        <v>31</v>
      </c>
      <c r="S26" s="56" t="s">
        <v>347</v>
      </c>
      <c r="T26" s="57" t="s">
        <v>29</v>
      </c>
      <c r="U26" s="58">
        <v>7025</v>
      </c>
      <c r="V26" s="57" t="s">
        <v>29</v>
      </c>
      <c r="W26" s="58">
        <v>5063</v>
      </c>
      <c r="X26" s="58">
        <v>63</v>
      </c>
      <c r="Y26" s="58">
        <v>1518</v>
      </c>
      <c r="Z26" s="59" t="s">
        <v>31</v>
      </c>
      <c r="AA26" s="58">
        <v>0</v>
      </c>
      <c r="AB26" s="58">
        <v>0</v>
      </c>
      <c r="AC26" s="58"/>
      <c r="AD26" s="59" t="s">
        <v>30</v>
      </c>
      <c r="AE26" s="58">
        <v>70</v>
      </c>
      <c r="AF26" s="58">
        <v>2416</v>
      </c>
      <c r="AG26" s="59" t="s">
        <v>31</v>
      </c>
      <c r="AH26" s="58">
        <v>1</v>
      </c>
      <c r="AI26" s="58">
        <v>109</v>
      </c>
      <c r="AJ26" s="59" t="s">
        <v>31</v>
      </c>
      <c r="AK26" s="56" t="s">
        <v>29</v>
      </c>
      <c r="AL26" s="60">
        <v>4.1500000000000004</v>
      </c>
      <c r="AM26" s="60">
        <v>3.3</v>
      </c>
      <c r="AN26" s="57" t="s">
        <v>29</v>
      </c>
      <c r="AO26" s="57" t="s">
        <v>28</v>
      </c>
      <c r="AP26" s="57" t="s">
        <v>28</v>
      </c>
      <c r="AQ26" s="56" t="s">
        <v>28</v>
      </c>
      <c r="AR26" s="56" t="s">
        <v>28</v>
      </c>
      <c r="AS26" s="56" t="s">
        <v>28</v>
      </c>
      <c r="AT26" s="56" t="s">
        <v>29</v>
      </c>
      <c r="AU26" s="56" t="s">
        <v>29</v>
      </c>
      <c r="AV26" s="56" t="s">
        <v>28</v>
      </c>
      <c r="AW26" s="56" t="s">
        <v>28</v>
      </c>
      <c r="AX26" s="56" t="s">
        <v>28</v>
      </c>
      <c r="AY26" s="56" t="s">
        <v>28</v>
      </c>
      <c r="AZ26" s="58">
        <v>2</v>
      </c>
      <c r="BA26" s="59" t="s">
        <v>30</v>
      </c>
      <c r="BB26" s="81">
        <v>275</v>
      </c>
      <c r="BC26" s="59" t="s">
        <v>30</v>
      </c>
      <c r="BD26" s="38">
        <f t="shared" si="5"/>
        <v>1964.2857142857142</v>
      </c>
      <c r="BE26" s="46">
        <v>1.5</v>
      </c>
      <c r="BF26" s="59" t="s">
        <v>30</v>
      </c>
      <c r="BG26" s="57" t="s">
        <v>29</v>
      </c>
      <c r="BH26" s="45">
        <f>P26/100*44*14.08</f>
        <v>63964.200960000002</v>
      </c>
      <c r="BI26" s="45">
        <f>P26/100*44*28.16</f>
        <v>127928.40192</v>
      </c>
      <c r="BJ26" s="45">
        <v>31408.641250000001</v>
      </c>
      <c r="BK26" s="86">
        <f t="shared" si="0"/>
        <v>223301.24413000001</v>
      </c>
      <c r="BL26" s="46">
        <f t="shared" si="6"/>
        <v>0.799875</v>
      </c>
      <c r="BM26" s="90">
        <f t="shared" si="1"/>
        <v>2.2998750000000001</v>
      </c>
      <c r="BN26" s="61" t="s">
        <v>32</v>
      </c>
      <c r="BO26" s="61" t="s">
        <v>32</v>
      </c>
    </row>
    <row r="27" spans="1:67" s="54" customFormat="1">
      <c r="A27" s="55" t="s">
        <v>472</v>
      </c>
      <c r="B27" s="56" t="s">
        <v>27</v>
      </c>
      <c r="C27" s="36" t="s">
        <v>370</v>
      </c>
      <c r="D27" s="37" t="s">
        <v>377</v>
      </c>
      <c r="E27" s="57" t="s">
        <v>29</v>
      </c>
      <c r="F27" s="57" t="s">
        <v>28</v>
      </c>
      <c r="G27" s="57" t="s">
        <v>28</v>
      </c>
      <c r="H27" s="57" t="s">
        <v>28</v>
      </c>
      <c r="I27" s="57" t="s">
        <v>28</v>
      </c>
      <c r="J27" s="57" t="s">
        <v>28</v>
      </c>
      <c r="K27" s="58">
        <v>1156</v>
      </c>
      <c r="L27" s="58">
        <v>6833</v>
      </c>
      <c r="M27" s="57" t="s">
        <v>30</v>
      </c>
      <c r="N27" s="58">
        <v>4758</v>
      </c>
      <c r="O27" s="59" t="s">
        <v>30</v>
      </c>
      <c r="P27" s="58">
        <f>L27/100*75</f>
        <v>5124.75</v>
      </c>
      <c r="Q27" s="58">
        <v>2075</v>
      </c>
      <c r="R27" s="57" t="s">
        <v>30</v>
      </c>
      <c r="S27" s="56" t="s">
        <v>28</v>
      </c>
      <c r="T27" s="57" t="s">
        <v>29</v>
      </c>
      <c r="U27" s="58"/>
      <c r="V27" s="57" t="s">
        <v>29</v>
      </c>
      <c r="W27" s="58">
        <v>1265</v>
      </c>
      <c r="X27" s="58">
        <v>10</v>
      </c>
      <c r="Y27" s="58">
        <v>271</v>
      </c>
      <c r="Z27" s="59" t="s">
        <v>30</v>
      </c>
      <c r="AA27" s="58">
        <v>4</v>
      </c>
      <c r="AB27" s="58">
        <v>123</v>
      </c>
      <c r="AC27" s="58">
        <v>8</v>
      </c>
      <c r="AD27" s="59" t="s">
        <v>30</v>
      </c>
      <c r="AE27" s="58">
        <v>2</v>
      </c>
      <c r="AF27" s="58">
        <v>27</v>
      </c>
      <c r="AG27" s="59" t="s">
        <v>31</v>
      </c>
      <c r="AH27" s="58">
        <v>2</v>
      </c>
      <c r="AI27" s="58">
        <v>46</v>
      </c>
      <c r="AJ27" s="59" t="s">
        <v>31</v>
      </c>
      <c r="AK27" s="56" t="s">
        <v>28</v>
      </c>
      <c r="AL27" s="60"/>
      <c r="AM27" s="60"/>
      <c r="AN27" s="57" t="s">
        <v>29</v>
      </c>
      <c r="AO27" s="57" t="s">
        <v>28</v>
      </c>
      <c r="AP27" s="57" t="s">
        <v>28</v>
      </c>
      <c r="AQ27" s="56" t="s">
        <v>28</v>
      </c>
      <c r="AR27" s="56" t="s">
        <v>28</v>
      </c>
      <c r="AS27" s="56" t="s">
        <v>29</v>
      </c>
      <c r="AT27" s="56" t="s">
        <v>29</v>
      </c>
      <c r="AU27" s="56" t="s">
        <v>28</v>
      </c>
      <c r="AV27" s="56" t="s">
        <v>28</v>
      </c>
      <c r="AW27" s="56" t="s">
        <v>29</v>
      </c>
      <c r="AX27" s="56" t="s">
        <v>28</v>
      </c>
      <c r="AY27" s="56" t="s">
        <v>28</v>
      </c>
      <c r="AZ27" s="58">
        <v>49</v>
      </c>
      <c r="BA27" s="59" t="s">
        <v>30</v>
      </c>
      <c r="BB27" s="81">
        <v>3000</v>
      </c>
      <c r="BC27" s="59" t="s">
        <v>31</v>
      </c>
      <c r="BD27" s="38">
        <f t="shared" si="5"/>
        <v>21428.571428571428</v>
      </c>
      <c r="BE27" s="46">
        <v>1</v>
      </c>
      <c r="BF27" s="59" t="s">
        <v>30</v>
      </c>
      <c r="BG27" s="57" t="s">
        <v>28</v>
      </c>
      <c r="BH27" s="45">
        <f>P27/100*47*17.99</f>
        <v>43331.298674999998</v>
      </c>
      <c r="BI27" s="45">
        <f>P27/100*47*35.98</f>
        <v>86662.597349999996</v>
      </c>
      <c r="BJ27" s="45">
        <v>29094.485000000001</v>
      </c>
      <c r="BK27" s="86">
        <f t="shared" si="0"/>
        <v>159088.38102500001</v>
      </c>
      <c r="BL27" s="46">
        <f t="shared" si="6"/>
        <v>0.53325</v>
      </c>
      <c r="BM27" s="90">
        <f t="shared" si="1"/>
        <v>1.53325</v>
      </c>
      <c r="BN27" s="61" t="s">
        <v>223</v>
      </c>
      <c r="BO27" s="61" t="s">
        <v>224</v>
      </c>
    </row>
    <row r="28" spans="1:67" s="54" customFormat="1" ht="60">
      <c r="A28" s="55" t="s">
        <v>473</v>
      </c>
      <c r="B28" s="56" t="s">
        <v>27</v>
      </c>
      <c r="C28" s="36" t="s">
        <v>372</v>
      </c>
      <c r="D28" s="37" t="s">
        <v>377</v>
      </c>
      <c r="E28" s="57" t="s">
        <v>28</v>
      </c>
      <c r="F28" s="57" t="s">
        <v>28</v>
      </c>
      <c r="G28" s="57" t="s">
        <v>28</v>
      </c>
      <c r="H28" s="57" t="s">
        <v>28</v>
      </c>
      <c r="I28" s="57" t="s">
        <v>29</v>
      </c>
      <c r="J28" s="57" t="s">
        <v>28</v>
      </c>
      <c r="K28" s="58">
        <v>2088</v>
      </c>
      <c r="L28" s="58">
        <v>2159</v>
      </c>
      <c r="M28" s="57" t="s">
        <v>30</v>
      </c>
      <c r="N28" s="58">
        <v>1696</v>
      </c>
      <c r="O28" s="59" t="s">
        <v>31</v>
      </c>
      <c r="P28" s="58">
        <f>L28/100*75</f>
        <v>1619.25</v>
      </c>
      <c r="Q28" s="58">
        <v>463</v>
      </c>
      <c r="R28" s="57" t="s">
        <v>31</v>
      </c>
      <c r="S28" s="56" t="s">
        <v>37</v>
      </c>
      <c r="T28" s="57" t="s">
        <v>29</v>
      </c>
      <c r="U28" s="58">
        <v>11676</v>
      </c>
      <c r="V28" s="57" t="s">
        <v>29</v>
      </c>
      <c r="W28" s="58">
        <v>15393</v>
      </c>
      <c r="X28" s="58">
        <v>4</v>
      </c>
      <c r="Y28" s="58">
        <v>120</v>
      </c>
      <c r="Z28" s="59" t="s">
        <v>30</v>
      </c>
      <c r="AA28" s="58">
        <v>1</v>
      </c>
      <c r="AB28" s="58">
        <v>30</v>
      </c>
      <c r="AC28" s="58">
        <v>4</v>
      </c>
      <c r="AD28" s="59" t="s">
        <v>30</v>
      </c>
      <c r="AE28" s="58">
        <v>3</v>
      </c>
      <c r="AF28" s="58">
        <v>28</v>
      </c>
      <c r="AG28" s="59" t="s">
        <v>30</v>
      </c>
      <c r="AH28" s="58">
        <v>10</v>
      </c>
      <c r="AI28" s="58">
        <v>1982</v>
      </c>
      <c r="AJ28" s="59" t="s">
        <v>30</v>
      </c>
      <c r="AK28" s="56" t="s">
        <v>44</v>
      </c>
      <c r="AL28" s="60"/>
      <c r="AM28" s="60"/>
      <c r="AN28" s="57" t="s">
        <v>28</v>
      </c>
      <c r="AO28" s="57" t="s">
        <v>28</v>
      </c>
      <c r="AP28" s="57" t="s">
        <v>28</v>
      </c>
      <c r="AQ28" s="56" t="s">
        <v>28</v>
      </c>
      <c r="AR28" s="56" t="s">
        <v>29</v>
      </c>
      <c r="AS28" s="56" t="s">
        <v>28</v>
      </c>
      <c r="AT28" s="56" t="s">
        <v>28</v>
      </c>
      <c r="AU28" s="56" t="s">
        <v>29</v>
      </c>
      <c r="AV28" s="56" t="s">
        <v>28</v>
      </c>
      <c r="AW28" s="56" t="s">
        <v>28</v>
      </c>
      <c r="AX28" s="56" t="s">
        <v>28</v>
      </c>
      <c r="AY28" s="56" t="s">
        <v>28</v>
      </c>
      <c r="AZ28" s="58">
        <v>29</v>
      </c>
      <c r="BA28" s="59" t="s">
        <v>30</v>
      </c>
      <c r="BB28" s="81">
        <v>1941</v>
      </c>
      <c r="BC28" s="59" t="s">
        <v>31</v>
      </c>
      <c r="BD28" s="38">
        <f t="shared" si="5"/>
        <v>13864.285714285714</v>
      </c>
      <c r="BE28" s="46">
        <v>2.5979999999999999</v>
      </c>
      <c r="BF28" s="59" t="s">
        <v>30</v>
      </c>
      <c r="BG28" s="57" t="s">
        <v>28</v>
      </c>
      <c r="BH28" s="45">
        <f>P28/100*47*11.29</f>
        <v>8592.2262749999991</v>
      </c>
      <c r="BI28" s="45">
        <f>P28/100*47*22.59</f>
        <v>17192.063024999996</v>
      </c>
      <c r="BJ28" s="45">
        <v>25261.46</v>
      </c>
      <c r="BK28" s="86">
        <f t="shared" si="0"/>
        <v>51045.749299999996</v>
      </c>
      <c r="BL28" s="46">
        <f t="shared" si="6"/>
        <v>1.3853834999999999</v>
      </c>
      <c r="BM28" s="90">
        <f t="shared" si="1"/>
        <v>3.9833834999999995</v>
      </c>
      <c r="BN28" s="61" t="s">
        <v>228</v>
      </c>
      <c r="BO28" s="61" t="s">
        <v>229</v>
      </c>
    </row>
    <row r="29" spans="1:67" s="54" customFormat="1" ht="45">
      <c r="A29" s="55" t="s">
        <v>52</v>
      </c>
      <c r="B29" s="56" t="s">
        <v>27</v>
      </c>
      <c r="C29" s="36" t="s">
        <v>372</v>
      </c>
      <c r="D29" s="37" t="s">
        <v>375</v>
      </c>
      <c r="E29" s="57" t="s">
        <v>28</v>
      </c>
      <c r="F29" s="57" t="s">
        <v>29</v>
      </c>
      <c r="G29" s="57" t="s">
        <v>28</v>
      </c>
      <c r="H29" s="57" t="s">
        <v>28</v>
      </c>
      <c r="I29" s="57" t="s">
        <v>28</v>
      </c>
      <c r="J29" s="57" t="s">
        <v>28</v>
      </c>
      <c r="K29" s="58">
        <v>1200</v>
      </c>
      <c r="L29" s="58">
        <v>16600</v>
      </c>
      <c r="M29" s="57" t="s">
        <v>30</v>
      </c>
      <c r="N29" s="58">
        <v>11315</v>
      </c>
      <c r="O29" s="59" t="s">
        <v>31</v>
      </c>
      <c r="P29" s="58">
        <f>L29/100*72</f>
        <v>11952</v>
      </c>
      <c r="Q29" s="58">
        <v>3686</v>
      </c>
      <c r="R29" s="57" t="s">
        <v>31</v>
      </c>
      <c r="S29" s="56" t="s">
        <v>53</v>
      </c>
      <c r="T29" s="57" t="s">
        <v>29</v>
      </c>
      <c r="U29" s="58">
        <v>98000</v>
      </c>
      <c r="V29" s="57" t="s">
        <v>29</v>
      </c>
      <c r="W29" s="58"/>
      <c r="X29" s="58">
        <v>5</v>
      </c>
      <c r="Y29" s="58">
        <v>300</v>
      </c>
      <c r="Z29" s="59" t="s">
        <v>31</v>
      </c>
      <c r="AA29" s="58">
        <v>2</v>
      </c>
      <c r="AB29" s="58">
        <v>60</v>
      </c>
      <c r="AC29" s="58">
        <v>2</v>
      </c>
      <c r="AD29" s="59" t="s">
        <v>31</v>
      </c>
      <c r="AE29" s="58">
        <v>10</v>
      </c>
      <c r="AF29" s="58">
        <v>85</v>
      </c>
      <c r="AG29" s="59" t="s">
        <v>31</v>
      </c>
      <c r="AH29" s="58">
        <v>20</v>
      </c>
      <c r="AI29" s="58">
        <v>400</v>
      </c>
      <c r="AJ29" s="59" t="s">
        <v>31</v>
      </c>
      <c r="AK29" s="56" t="s">
        <v>29</v>
      </c>
      <c r="AL29" s="60">
        <v>10</v>
      </c>
      <c r="AM29" s="60">
        <v>6</v>
      </c>
      <c r="AN29" s="57" t="s">
        <v>29</v>
      </c>
      <c r="AO29" s="57" t="s">
        <v>29</v>
      </c>
      <c r="AP29" s="57"/>
      <c r="AQ29" s="56" t="s">
        <v>28</v>
      </c>
      <c r="AR29" s="56" t="s">
        <v>28</v>
      </c>
      <c r="AS29" s="56" t="s">
        <v>28</v>
      </c>
      <c r="AT29" s="56" t="s">
        <v>29</v>
      </c>
      <c r="AU29" s="56" t="s">
        <v>29</v>
      </c>
      <c r="AV29" s="56" t="s">
        <v>28</v>
      </c>
      <c r="AW29" s="56" t="s">
        <v>29</v>
      </c>
      <c r="AX29" s="56" t="s">
        <v>28</v>
      </c>
      <c r="AY29" s="56" t="s">
        <v>29</v>
      </c>
      <c r="AZ29" s="58">
        <v>150</v>
      </c>
      <c r="BA29" s="59" t="s">
        <v>31</v>
      </c>
      <c r="BB29" s="81">
        <v>50000</v>
      </c>
      <c r="BC29" s="59" t="s">
        <v>31</v>
      </c>
      <c r="BD29" s="38">
        <f t="shared" si="5"/>
        <v>357142.85714285716</v>
      </c>
      <c r="BE29" s="46">
        <v>2</v>
      </c>
      <c r="BF29" s="59" t="s">
        <v>30</v>
      </c>
      <c r="BG29" s="57" t="s">
        <v>29</v>
      </c>
      <c r="BH29" s="45">
        <f>P29/100*44*11.29</f>
        <v>59372.7552</v>
      </c>
      <c r="BI29" s="45">
        <f>P29/100*44*22.59</f>
        <v>118798.0992</v>
      </c>
      <c r="BJ29" s="45">
        <v>114466.6425</v>
      </c>
      <c r="BK29" s="86">
        <f t="shared" si="0"/>
        <v>292637.49690000003</v>
      </c>
      <c r="BL29" s="46">
        <f t="shared" si="6"/>
        <v>1.0665</v>
      </c>
      <c r="BM29" s="90">
        <f t="shared" si="1"/>
        <v>3.0665</v>
      </c>
      <c r="BN29" s="61" t="s">
        <v>54</v>
      </c>
      <c r="BO29" s="61" t="s">
        <v>55</v>
      </c>
    </row>
    <row r="30" spans="1:67" s="54" customFormat="1" ht="30">
      <c r="A30" s="55" t="s">
        <v>292</v>
      </c>
      <c r="B30" s="56" t="s">
        <v>27</v>
      </c>
      <c r="C30" s="36" t="s">
        <v>369</v>
      </c>
      <c r="D30" s="37" t="s">
        <v>377</v>
      </c>
      <c r="E30" s="57" t="s">
        <v>28</v>
      </c>
      <c r="F30" s="57" t="s">
        <v>29</v>
      </c>
      <c r="G30" s="57" t="s">
        <v>28</v>
      </c>
      <c r="H30" s="57" t="s">
        <v>28</v>
      </c>
      <c r="I30" s="57" t="s">
        <v>28</v>
      </c>
      <c r="J30" s="57" t="s">
        <v>28</v>
      </c>
      <c r="K30" s="58">
        <v>155</v>
      </c>
      <c r="L30" s="58">
        <v>334</v>
      </c>
      <c r="M30" s="57" t="s">
        <v>30</v>
      </c>
      <c r="N30" s="58">
        <v>299</v>
      </c>
      <c r="O30" s="59" t="s">
        <v>30</v>
      </c>
      <c r="P30" s="58">
        <f>L30/100*75</f>
        <v>250.5</v>
      </c>
      <c r="Q30" s="58">
        <v>35</v>
      </c>
      <c r="R30" s="57" t="s">
        <v>30</v>
      </c>
      <c r="S30" s="56" t="s">
        <v>50</v>
      </c>
      <c r="T30" s="57" t="s">
        <v>29</v>
      </c>
      <c r="U30" s="58"/>
      <c r="V30" s="57" t="s">
        <v>29</v>
      </c>
      <c r="W30" s="58">
        <v>1024</v>
      </c>
      <c r="X30" s="58">
        <v>2</v>
      </c>
      <c r="Y30" s="58">
        <v>60</v>
      </c>
      <c r="Z30" s="59" t="s">
        <v>30</v>
      </c>
      <c r="AA30" s="58">
        <v>0</v>
      </c>
      <c r="AB30" s="58">
        <v>0</v>
      </c>
      <c r="AC30" s="58">
        <v>2</v>
      </c>
      <c r="AD30" s="59" t="s">
        <v>30</v>
      </c>
      <c r="AE30" s="58">
        <v>0</v>
      </c>
      <c r="AF30" s="58">
        <v>0</v>
      </c>
      <c r="AG30" s="59" t="s">
        <v>30</v>
      </c>
      <c r="AH30" s="58">
        <v>10</v>
      </c>
      <c r="AI30" s="58">
        <v>300</v>
      </c>
      <c r="AJ30" s="59" t="s">
        <v>31</v>
      </c>
      <c r="AK30" s="56" t="s">
        <v>29</v>
      </c>
      <c r="AL30" s="60">
        <v>2</v>
      </c>
      <c r="AM30" s="60">
        <v>0</v>
      </c>
      <c r="AN30" s="57" t="s">
        <v>29</v>
      </c>
      <c r="AO30" s="57" t="s">
        <v>28</v>
      </c>
      <c r="AP30" s="57" t="s">
        <v>28</v>
      </c>
      <c r="AQ30" s="56" t="s">
        <v>28</v>
      </c>
      <c r="AR30" s="56" t="s">
        <v>28</v>
      </c>
      <c r="AS30" s="56" t="s">
        <v>28</v>
      </c>
      <c r="AT30" s="56" t="s">
        <v>28</v>
      </c>
      <c r="AU30" s="56" t="s">
        <v>29</v>
      </c>
      <c r="AV30" s="56" t="s">
        <v>28</v>
      </c>
      <c r="AW30" s="56" t="s">
        <v>28</v>
      </c>
      <c r="AX30" s="56" t="s">
        <v>28</v>
      </c>
      <c r="AY30" s="56" t="s">
        <v>28</v>
      </c>
      <c r="AZ30" s="58">
        <v>14</v>
      </c>
      <c r="BA30" s="59" t="s">
        <v>30</v>
      </c>
      <c r="BB30" s="81">
        <v>310</v>
      </c>
      <c r="BC30" s="59" t="s">
        <v>30</v>
      </c>
      <c r="BD30" s="38">
        <f t="shared" si="5"/>
        <v>2214.2857142857142</v>
      </c>
      <c r="BE30" s="46">
        <v>0</v>
      </c>
      <c r="BF30" s="59" t="s">
        <v>30</v>
      </c>
      <c r="BG30" s="57" t="s">
        <v>73</v>
      </c>
      <c r="BH30" s="45">
        <f>P30/100*47*14.08</f>
        <v>1657.7088000000001</v>
      </c>
      <c r="BI30" s="45">
        <f>P30/100*47*28.16</f>
        <v>3315.4176000000002</v>
      </c>
      <c r="BJ30" s="45">
        <v>372.8725</v>
      </c>
      <c r="BK30" s="86">
        <f t="shared" si="0"/>
        <v>5345.9989000000005</v>
      </c>
      <c r="BL30" s="46">
        <f t="shared" si="6"/>
        <v>0</v>
      </c>
      <c r="BM30" s="90">
        <f t="shared" si="1"/>
        <v>0</v>
      </c>
      <c r="BN30" s="61" t="s">
        <v>50</v>
      </c>
      <c r="BO30" s="61" t="s">
        <v>50</v>
      </c>
    </row>
    <row r="31" spans="1:67" s="54" customFormat="1" ht="30">
      <c r="A31" s="55" t="s">
        <v>134</v>
      </c>
      <c r="B31" s="56" t="s">
        <v>27</v>
      </c>
      <c r="C31" s="36" t="s">
        <v>369</v>
      </c>
      <c r="D31" s="37" t="s">
        <v>377</v>
      </c>
      <c r="E31" s="57" t="s">
        <v>28</v>
      </c>
      <c r="F31" s="57" t="s">
        <v>29</v>
      </c>
      <c r="G31" s="57" t="s">
        <v>28</v>
      </c>
      <c r="H31" s="57" t="s">
        <v>28</v>
      </c>
      <c r="I31" s="57" t="s">
        <v>28</v>
      </c>
      <c r="J31" s="57" t="s">
        <v>28</v>
      </c>
      <c r="K31" s="58">
        <v>1036</v>
      </c>
      <c r="L31" s="58">
        <v>4208</v>
      </c>
      <c r="M31" s="57" t="s">
        <v>30</v>
      </c>
      <c r="N31" s="58">
        <v>3000</v>
      </c>
      <c r="O31" s="59" t="s">
        <v>31</v>
      </c>
      <c r="P31" s="58">
        <f>L31/100*75</f>
        <v>3156</v>
      </c>
      <c r="Q31" s="58">
        <v>1200</v>
      </c>
      <c r="R31" s="57" t="s">
        <v>31</v>
      </c>
      <c r="S31" s="56" t="s">
        <v>135</v>
      </c>
      <c r="T31" s="57" t="s">
        <v>29</v>
      </c>
      <c r="U31" s="58">
        <v>1200</v>
      </c>
      <c r="V31" s="57" t="s">
        <v>29</v>
      </c>
      <c r="W31" s="58">
        <v>300</v>
      </c>
      <c r="X31" s="58">
        <v>4</v>
      </c>
      <c r="Y31" s="58">
        <v>60</v>
      </c>
      <c r="Z31" s="59" t="s">
        <v>31</v>
      </c>
      <c r="AA31" s="58">
        <v>3</v>
      </c>
      <c r="AB31" s="58">
        <v>24</v>
      </c>
      <c r="AC31" s="58">
        <v>4</v>
      </c>
      <c r="AD31" s="59" t="s">
        <v>30</v>
      </c>
      <c r="AE31" s="58">
        <v>4</v>
      </c>
      <c r="AF31" s="58">
        <v>75</v>
      </c>
      <c r="AG31" s="59" t="s">
        <v>31</v>
      </c>
      <c r="AH31" s="58">
        <v>10</v>
      </c>
      <c r="AI31" s="58">
        <v>200</v>
      </c>
      <c r="AJ31" s="59" t="s">
        <v>31</v>
      </c>
      <c r="AK31" s="56" t="s">
        <v>28</v>
      </c>
      <c r="AL31" s="60"/>
      <c r="AM31" s="60"/>
      <c r="AN31" s="57" t="s">
        <v>29</v>
      </c>
      <c r="AO31" s="57" t="s">
        <v>28</v>
      </c>
      <c r="AP31" s="57" t="s">
        <v>28</v>
      </c>
      <c r="AQ31" s="56" t="s">
        <v>28</v>
      </c>
      <c r="AR31" s="56" t="s">
        <v>28</v>
      </c>
      <c r="AS31" s="56" t="s">
        <v>29</v>
      </c>
      <c r="AT31" s="56" t="s">
        <v>29</v>
      </c>
      <c r="AU31" s="56" t="s">
        <v>29</v>
      </c>
      <c r="AV31" s="56" t="s">
        <v>28</v>
      </c>
      <c r="AW31" s="56" t="s">
        <v>29</v>
      </c>
      <c r="AX31" s="56" t="s">
        <v>28</v>
      </c>
      <c r="AY31" s="56" t="s">
        <v>28</v>
      </c>
      <c r="AZ31" s="58">
        <v>125</v>
      </c>
      <c r="BA31" s="59" t="s">
        <v>30</v>
      </c>
      <c r="BB31" s="81">
        <v>1100</v>
      </c>
      <c r="BC31" s="59" t="s">
        <v>31</v>
      </c>
      <c r="BD31" s="38">
        <f t="shared" si="5"/>
        <v>7857.1428571428569</v>
      </c>
      <c r="BE31" s="46">
        <v>1</v>
      </c>
      <c r="BF31" s="59" t="s">
        <v>30</v>
      </c>
      <c r="BG31" s="57" t="s">
        <v>29</v>
      </c>
      <c r="BH31" s="45">
        <f>P31/100*47*14.08</f>
        <v>20885.1456</v>
      </c>
      <c r="BI31" s="45">
        <f>P31/100*47*28.16</f>
        <v>41770.2912</v>
      </c>
      <c r="BJ31" s="45">
        <v>17879.627499999999</v>
      </c>
      <c r="BK31" s="86">
        <f t="shared" si="0"/>
        <v>80535.064299999998</v>
      </c>
      <c r="BL31" s="46">
        <f t="shared" si="6"/>
        <v>0.53325</v>
      </c>
      <c r="BM31" s="90">
        <f t="shared" si="1"/>
        <v>1.53325</v>
      </c>
      <c r="BN31" s="61" t="s">
        <v>32</v>
      </c>
      <c r="BO31" s="61" t="s">
        <v>136</v>
      </c>
    </row>
    <row r="32" spans="1:67" s="54" customFormat="1">
      <c r="A32" s="55" t="s">
        <v>303</v>
      </c>
      <c r="B32" s="56" t="s">
        <v>27</v>
      </c>
      <c r="C32" s="62" t="s">
        <v>371</v>
      </c>
      <c r="D32" s="37" t="s">
        <v>375</v>
      </c>
      <c r="E32" s="57" t="s">
        <v>28</v>
      </c>
      <c r="F32" s="57" t="s">
        <v>29</v>
      </c>
      <c r="G32" s="57" t="s">
        <v>28</v>
      </c>
      <c r="H32" s="57" t="s">
        <v>28</v>
      </c>
      <c r="I32" s="57" t="s">
        <v>28</v>
      </c>
      <c r="J32" s="57" t="s">
        <v>28</v>
      </c>
      <c r="K32" s="58">
        <v>1122</v>
      </c>
      <c r="L32" s="58">
        <v>19055</v>
      </c>
      <c r="M32" s="57" t="s">
        <v>30</v>
      </c>
      <c r="N32" s="58">
        <v>16351</v>
      </c>
      <c r="O32" s="59" t="s">
        <v>30</v>
      </c>
      <c r="P32" s="58">
        <f>L32/100*72</f>
        <v>13719.6</v>
      </c>
      <c r="Q32" s="58">
        <v>2704</v>
      </c>
      <c r="R32" s="57" t="s">
        <v>30</v>
      </c>
      <c r="S32" s="56" t="s">
        <v>37</v>
      </c>
      <c r="T32" s="57" t="s">
        <v>29</v>
      </c>
      <c r="U32" s="58"/>
      <c r="V32" s="57" t="s">
        <v>29</v>
      </c>
      <c r="W32" s="58">
        <v>50</v>
      </c>
      <c r="X32" s="58">
        <v>10</v>
      </c>
      <c r="Y32" s="58">
        <v>467</v>
      </c>
      <c r="Z32" s="59" t="s">
        <v>30</v>
      </c>
      <c r="AA32" s="58">
        <v>0</v>
      </c>
      <c r="AB32" s="58">
        <v>0</v>
      </c>
      <c r="AC32" s="58">
        <v>7</v>
      </c>
      <c r="AD32" s="59" t="s">
        <v>30</v>
      </c>
      <c r="AE32" s="58">
        <v>13</v>
      </c>
      <c r="AF32" s="58">
        <v>400</v>
      </c>
      <c r="AG32" s="59" t="s">
        <v>31</v>
      </c>
      <c r="AH32" s="58">
        <v>0</v>
      </c>
      <c r="AI32" s="58">
        <v>0</v>
      </c>
      <c r="AJ32" s="59" t="s">
        <v>30</v>
      </c>
      <c r="AK32" s="56" t="s">
        <v>28</v>
      </c>
      <c r="AL32" s="60"/>
      <c r="AM32" s="60"/>
      <c r="AN32" s="57" t="s">
        <v>29</v>
      </c>
      <c r="AO32" s="57" t="s">
        <v>28</v>
      </c>
      <c r="AP32" s="57" t="s">
        <v>28</v>
      </c>
      <c r="AQ32" s="56" t="s">
        <v>28</v>
      </c>
      <c r="AR32" s="56" t="s">
        <v>29</v>
      </c>
      <c r="AS32" s="56" t="s">
        <v>28</v>
      </c>
      <c r="AT32" s="56" t="s">
        <v>29</v>
      </c>
      <c r="AU32" s="56" t="s">
        <v>28</v>
      </c>
      <c r="AV32" s="56" t="s">
        <v>29</v>
      </c>
      <c r="AW32" s="56" t="s">
        <v>28</v>
      </c>
      <c r="AX32" s="56" t="s">
        <v>28</v>
      </c>
      <c r="AY32" s="56" t="s">
        <v>28</v>
      </c>
      <c r="AZ32" s="58">
        <v>31</v>
      </c>
      <c r="BA32" s="59" t="s">
        <v>30</v>
      </c>
      <c r="BB32" s="81">
        <v>900</v>
      </c>
      <c r="BC32" s="59" t="s">
        <v>31</v>
      </c>
      <c r="BD32" s="38">
        <f t="shared" si="5"/>
        <v>6428.5714285714294</v>
      </c>
      <c r="BE32" s="46">
        <v>0.75</v>
      </c>
      <c r="BF32" s="59" t="s">
        <v>31</v>
      </c>
      <c r="BG32" s="57" t="s">
        <v>28</v>
      </c>
      <c r="BH32" s="45">
        <f>P32/100*44*12.86</f>
        <v>77630.984639999995</v>
      </c>
      <c r="BI32" s="45">
        <f>P32/100*44*25.73</f>
        <v>155322.33551999999</v>
      </c>
      <c r="BJ32" s="45">
        <v>13789.76375</v>
      </c>
      <c r="BK32" s="86">
        <f t="shared" si="0"/>
        <v>246743.08391000002</v>
      </c>
      <c r="BL32" s="46">
        <f t="shared" si="6"/>
        <v>0.3999375</v>
      </c>
      <c r="BM32" s="90">
        <f t="shared" si="1"/>
        <v>1.1499375000000001</v>
      </c>
      <c r="BN32" s="61" t="s">
        <v>32</v>
      </c>
      <c r="BO32" s="61" t="s">
        <v>304</v>
      </c>
    </row>
    <row r="33" spans="1:67" s="54" customFormat="1" ht="30">
      <c r="A33" s="55" t="s">
        <v>367</v>
      </c>
      <c r="B33" s="56" t="s">
        <v>27</v>
      </c>
      <c r="C33" s="62" t="s">
        <v>371</v>
      </c>
      <c r="D33" s="37" t="s">
        <v>375</v>
      </c>
      <c r="E33" s="57" t="s">
        <v>28</v>
      </c>
      <c r="F33" s="57" t="s">
        <v>29</v>
      </c>
      <c r="G33" s="57" t="s">
        <v>28</v>
      </c>
      <c r="H33" s="57" t="s">
        <v>28</v>
      </c>
      <c r="I33" s="57" t="s">
        <v>28</v>
      </c>
      <c r="J33" s="57" t="s">
        <v>28</v>
      </c>
      <c r="K33" s="58">
        <v>544</v>
      </c>
      <c r="L33" s="58">
        <v>21251</v>
      </c>
      <c r="M33" s="57" t="s">
        <v>30</v>
      </c>
      <c r="N33" s="58">
        <v>16353</v>
      </c>
      <c r="O33" s="59" t="s">
        <v>30</v>
      </c>
      <c r="P33" s="58">
        <f>L33/100*72</f>
        <v>15300.72</v>
      </c>
      <c r="Q33" s="58">
        <v>4898</v>
      </c>
      <c r="R33" s="57" t="s">
        <v>30</v>
      </c>
      <c r="S33" s="56" t="s">
        <v>368</v>
      </c>
      <c r="T33" s="57" t="s">
        <v>29</v>
      </c>
      <c r="U33" s="58"/>
      <c r="V33" s="57" t="s">
        <v>28</v>
      </c>
      <c r="W33" s="58"/>
      <c r="X33" s="58">
        <v>12</v>
      </c>
      <c r="Y33" s="58">
        <v>409</v>
      </c>
      <c r="Z33" s="59" t="s">
        <v>30</v>
      </c>
      <c r="AA33" s="58">
        <v>0</v>
      </c>
      <c r="AB33" s="58"/>
      <c r="AC33" s="58">
        <v>12</v>
      </c>
      <c r="AD33" s="59" t="s">
        <v>30</v>
      </c>
      <c r="AE33" s="58"/>
      <c r="AF33" s="58"/>
      <c r="AG33" s="59"/>
      <c r="AH33" s="58">
        <v>0</v>
      </c>
      <c r="AI33" s="58"/>
      <c r="AJ33" s="59" t="s">
        <v>32</v>
      </c>
      <c r="AK33" s="56" t="s">
        <v>29</v>
      </c>
      <c r="AL33" s="60">
        <v>9</v>
      </c>
      <c r="AM33" s="60">
        <v>6</v>
      </c>
      <c r="AN33" s="57" t="s">
        <v>29</v>
      </c>
      <c r="AO33" s="57" t="s">
        <v>29</v>
      </c>
      <c r="AP33" s="57"/>
      <c r="AQ33" s="56" t="s">
        <v>28</v>
      </c>
      <c r="AR33" s="56" t="s">
        <v>28</v>
      </c>
      <c r="AS33" s="56" t="s">
        <v>28</v>
      </c>
      <c r="AT33" s="56" t="s">
        <v>28</v>
      </c>
      <c r="AU33" s="56" t="s">
        <v>28</v>
      </c>
      <c r="AV33" s="56" t="s">
        <v>28</v>
      </c>
      <c r="AW33" s="56" t="s">
        <v>29</v>
      </c>
      <c r="AX33" s="56" t="s">
        <v>28</v>
      </c>
      <c r="AY33" s="56" t="s">
        <v>28</v>
      </c>
      <c r="AZ33" s="58">
        <v>110</v>
      </c>
      <c r="BA33" s="59" t="s">
        <v>31</v>
      </c>
      <c r="BB33" s="81">
        <v>45324</v>
      </c>
      <c r="BC33" s="59" t="s">
        <v>30</v>
      </c>
      <c r="BD33" s="38">
        <f t="shared" si="5"/>
        <v>323742.85714285716</v>
      </c>
      <c r="BE33" s="46">
        <v>0</v>
      </c>
      <c r="BF33" s="59" t="s">
        <v>30</v>
      </c>
      <c r="BG33" s="57" t="s">
        <v>73</v>
      </c>
      <c r="BH33" s="45">
        <f>P33/100*44*12.86</f>
        <v>86577.594047999984</v>
      </c>
      <c r="BI33" s="45">
        <f>P33/100*44*25.73</f>
        <v>173222.511264</v>
      </c>
      <c r="BJ33" s="45">
        <v>368005.60125000001</v>
      </c>
      <c r="BK33" s="86">
        <f t="shared" si="0"/>
        <v>627805.70656199998</v>
      </c>
      <c r="BL33" s="46">
        <f t="shared" si="6"/>
        <v>0</v>
      </c>
      <c r="BM33" s="90">
        <f t="shared" si="1"/>
        <v>0</v>
      </c>
      <c r="BN33" s="61" t="s">
        <v>152</v>
      </c>
      <c r="BO33" s="61" t="s">
        <v>32</v>
      </c>
    </row>
    <row r="34" spans="1:67" s="54" customFormat="1" ht="30">
      <c r="A34" s="55" t="s">
        <v>283</v>
      </c>
      <c r="B34" s="56" t="s">
        <v>27</v>
      </c>
      <c r="C34" s="36" t="s">
        <v>373</v>
      </c>
      <c r="D34" s="37" t="s">
        <v>377</v>
      </c>
      <c r="E34" s="57" t="s">
        <v>29</v>
      </c>
      <c r="F34" s="57" t="s">
        <v>28</v>
      </c>
      <c r="G34" s="57" t="s">
        <v>28</v>
      </c>
      <c r="H34" s="57" t="s">
        <v>28</v>
      </c>
      <c r="I34" s="57" t="s">
        <v>28</v>
      </c>
      <c r="J34" s="57" t="s">
        <v>28</v>
      </c>
      <c r="K34" s="58">
        <v>2360</v>
      </c>
      <c r="L34" s="58">
        <v>7668</v>
      </c>
      <c r="M34" s="57" t="s">
        <v>30</v>
      </c>
      <c r="N34" s="58">
        <v>6156</v>
      </c>
      <c r="O34" s="59" t="s">
        <v>30</v>
      </c>
      <c r="P34" s="58">
        <f>L34/100*75</f>
        <v>5751.0000000000009</v>
      </c>
      <c r="Q34" s="58">
        <v>1512</v>
      </c>
      <c r="R34" s="57" t="s">
        <v>30</v>
      </c>
      <c r="S34" s="56" t="s">
        <v>284</v>
      </c>
      <c r="T34" s="57" t="s">
        <v>29</v>
      </c>
      <c r="U34" s="58">
        <v>54000</v>
      </c>
      <c r="V34" s="57" t="s">
        <v>29</v>
      </c>
      <c r="W34" s="58">
        <v>11000</v>
      </c>
      <c r="X34" s="58">
        <v>0</v>
      </c>
      <c r="Y34" s="58">
        <v>0</v>
      </c>
      <c r="Z34" s="59" t="s">
        <v>30</v>
      </c>
      <c r="AA34" s="58">
        <v>0</v>
      </c>
      <c r="AB34" s="58">
        <v>0</v>
      </c>
      <c r="AC34" s="58">
        <v>0</v>
      </c>
      <c r="AD34" s="59" t="s">
        <v>30</v>
      </c>
      <c r="AE34" s="58">
        <v>0</v>
      </c>
      <c r="AF34" s="58">
        <v>0</v>
      </c>
      <c r="AG34" s="59" t="s">
        <v>30</v>
      </c>
      <c r="AH34" s="58">
        <v>5</v>
      </c>
      <c r="AI34" s="58">
        <v>250</v>
      </c>
      <c r="AJ34" s="59" t="s">
        <v>31</v>
      </c>
      <c r="AK34" s="56" t="s">
        <v>29</v>
      </c>
      <c r="AL34" s="60">
        <v>7</v>
      </c>
      <c r="AM34" s="60">
        <v>4</v>
      </c>
      <c r="AN34" s="57" t="s">
        <v>29</v>
      </c>
      <c r="AO34" s="57" t="s">
        <v>29</v>
      </c>
      <c r="AP34" s="57"/>
      <c r="AQ34" s="56" t="s">
        <v>28</v>
      </c>
      <c r="AR34" s="56" t="s">
        <v>28</v>
      </c>
      <c r="AS34" s="56" t="s">
        <v>28</v>
      </c>
      <c r="AT34" s="56" t="s">
        <v>29</v>
      </c>
      <c r="AU34" s="56" t="s">
        <v>28</v>
      </c>
      <c r="AV34" s="56" t="s">
        <v>28</v>
      </c>
      <c r="AW34" s="56" t="s">
        <v>29</v>
      </c>
      <c r="AX34" s="56" t="s">
        <v>28</v>
      </c>
      <c r="AY34" s="56" t="s">
        <v>28</v>
      </c>
      <c r="AZ34" s="58">
        <v>50</v>
      </c>
      <c r="BA34" s="59" t="s">
        <v>31</v>
      </c>
      <c r="BB34" s="81">
        <v>11898</v>
      </c>
      <c r="BC34" s="59" t="s">
        <v>31</v>
      </c>
      <c r="BD34" s="38">
        <f t="shared" si="5"/>
        <v>84985.71428571429</v>
      </c>
      <c r="BE34" s="46">
        <v>7</v>
      </c>
      <c r="BF34" s="59" t="s">
        <v>31</v>
      </c>
      <c r="BG34" s="57" t="s">
        <v>29</v>
      </c>
      <c r="BH34" s="45">
        <f>P34/100*47*12.91</f>
        <v>34895.342700000008</v>
      </c>
      <c r="BI34" s="45">
        <f>P34/100*47*25.82</f>
        <v>69790.685400000017</v>
      </c>
      <c r="BJ34" s="45">
        <v>206418.82624999998</v>
      </c>
      <c r="BK34" s="86">
        <f t="shared" si="0"/>
        <v>311104.85435000004</v>
      </c>
      <c r="BL34" s="46">
        <f t="shared" si="6"/>
        <v>3.7327499999999993</v>
      </c>
      <c r="BM34" s="90">
        <f t="shared" si="1"/>
        <v>10.732749999999999</v>
      </c>
      <c r="BN34" s="61" t="s">
        <v>285</v>
      </c>
      <c r="BO34" s="61" t="s">
        <v>32</v>
      </c>
    </row>
    <row r="35" spans="1:67" s="54" customFormat="1" ht="45">
      <c r="A35" s="55" t="s">
        <v>475</v>
      </c>
      <c r="B35" s="56" t="s">
        <v>42</v>
      </c>
      <c r="C35" s="36" t="s">
        <v>369</v>
      </c>
      <c r="D35" s="37" t="s">
        <v>375</v>
      </c>
      <c r="E35" s="57" t="s">
        <v>28</v>
      </c>
      <c r="F35" s="57" t="s">
        <v>29</v>
      </c>
      <c r="G35" s="57" t="s">
        <v>28</v>
      </c>
      <c r="H35" s="57" t="s">
        <v>28</v>
      </c>
      <c r="I35" s="57" t="s">
        <v>28</v>
      </c>
      <c r="J35" s="57" t="s">
        <v>28</v>
      </c>
      <c r="K35" s="58">
        <v>1260</v>
      </c>
      <c r="L35" s="58">
        <v>10584</v>
      </c>
      <c r="M35" s="57" t="s">
        <v>31</v>
      </c>
      <c r="N35" s="58">
        <v>8837</v>
      </c>
      <c r="O35" s="59" t="s">
        <v>31</v>
      </c>
      <c r="P35" s="58">
        <f>L35/100*72</f>
        <v>7620.4800000000005</v>
      </c>
      <c r="Q35" s="58">
        <v>1747</v>
      </c>
      <c r="R35" s="57" t="s">
        <v>31</v>
      </c>
      <c r="S35" s="56" t="s">
        <v>347</v>
      </c>
      <c r="T35" s="57" t="s">
        <v>29</v>
      </c>
      <c r="U35" s="58">
        <v>5185</v>
      </c>
      <c r="V35" s="57" t="s">
        <v>29</v>
      </c>
      <c r="W35" s="58">
        <v>1573</v>
      </c>
      <c r="X35" s="58">
        <v>46</v>
      </c>
      <c r="Y35" s="58">
        <v>1120</v>
      </c>
      <c r="Z35" s="59" t="s">
        <v>31</v>
      </c>
      <c r="AA35" s="58">
        <v>0</v>
      </c>
      <c r="AB35" s="58">
        <v>0</v>
      </c>
      <c r="AC35" s="58"/>
      <c r="AD35" s="59" t="s">
        <v>30</v>
      </c>
      <c r="AE35" s="58">
        <v>51</v>
      </c>
      <c r="AF35" s="58">
        <v>1783</v>
      </c>
      <c r="AG35" s="59" t="s">
        <v>31</v>
      </c>
      <c r="AH35" s="58">
        <v>1</v>
      </c>
      <c r="AI35" s="58">
        <v>80</v>
      </c>
      <c r="AJ35" s="59" t="s">
        <v>31</v>
      </c>
      <c r="AK35" s="56" t="s">
        <v>29</v>
      </c>
      <c r="AL35" s="60">
        <v>5</v>
      </c>
      <c r="AM35" s="60">
        <v>4</v>
      </c>
      <c r="AN35" s="57" t="s">
        <v>29</v>
      </c>
      <c r="AO35" s="57" t="s">
        <v>28</v>
      </c>
      <c r="AP35" s="57" t="s">
        <v>28</v>
      </c>
      <c r="AQ35" s="56" t="s">
        <v>29</v>
      </c>
      <c r="AR35" s="56" t="s">
        <v>28</v>
      </c>
      <c r="AS35" s="56" t="s">
        <v>28</v>
      </c>
      <c r="AT35" s="56" t="s">
        <v>28</v>
      </c>
      <c r="AU35" s="56" t="s">
        <v>28</v>
      </c>
      <c r="AV35" s="56" t="s">
        <v>28</v>
      </c>
      <c r="AW35" s="56" t="s">
        <v>28</v>
      </c>
      <c r="AX35" s="56" t="s">
        <v>113</v>
      </c>
      <c r="AY35" s="56" t="s">
        <v>28</v>
      </c>
      <c r="AZ35" s="58">
        <v>9</v>
      </c>
      <c r="BA35" s="59" t="s">
        <v>30</v>
      </c>
      <c r="BB35" s="81">
        <v>538</v>
      </c>
      <c r="BC35" s="59" t="s">
        <v>30</v>
      </c>
      <c r="BD35" s="38">
        <f t="shared" si="5"/>
        <v>3842.8571428571431</v>
      </c>
      <c r="BE35" s="46">
        <v>1.2</v>
      </c>
      <c r="BF35" s="59" t="s">
        <v>30</v>
      </c>
      <c r="BG35" s="57" t="s">
        <v>29</v>
      </c>
      <c r="BH35" s="45">
        <f>P35/100*44*14.08</f>
        <v>47210.397696000007</v>
      </c>
      <c r="BI35" s="45">
        <f>P35/100*44*28.16</f>
        <v>94420.795392000015</v>
      </c>
      <c r="BJ35" s="45">
        <v>8699.9237499999999</v>
      </c>
      <c r="BK35" s="86">
        <f t="shared" ref="BK35:BK66" si="7">BH35+BI35+BJ35</f>
        <v>150331.11683800002</v>
      </c>
      <c r="BL35" s="46">
        <f t="shared" si="6"/>
        <v>0.63990000000000002</v>
      </c>
      <c r="BM35" s="90">
        <f t="shared" ref="BM35:BM66" si="8">SUBTOTAL(9,BE35,BL35)</f>
        <v>1.8399000000000001</v>
      </c>
      <c r="BN35" s="61" t="s">
        <v>32</v>
      </c>
      <c r="BO35" s="61" t="s">
        <v>32</v>
      </c>
    </row>
    <row r="36" spans="1:67" s="54" customFormat="1" ht="60">
      <c r="A36" s="55" t="s">
        <v>393</v>
      </c>
      <c r="B36" s="56" t="s">
        <v>42</v>
      </c>
      <c r="C36" s="36" t="s">
        <v>372</v>
      </c>
      <c r="D36" s="37" t="s">
        <v>377</v>
      </c>
      <c r="E36" s="57" t="s">
        <v>29</v>
      </c>
      <c r="F36" s="57" t="s">
        <v>28</v>
      </c>
      <c r="G36" s="57" t="s">
        <v>28</v>
      </c>
      <c r="H36" s="57" t="s">
        <v>28</v>
      </c>
      <c r="I36" s="57" t="s">
        <v>28</v>
      </c>
      <c r="J36" s="57" t="s">
        <v>28</v>
      </c>
      <c r="K36" s="58">
        <v>1150</v>
      </c>
      <c r="L36" s="58">
        <v>3336</v>
      </c>
      <c r="M36" s="57" t="s">
        <v>30</v>
      </c>
      <c r="N36" s="58">
        <v>2280</v>
      </c>
      <c r="O36" s="59" t="s">
        <v>30</v>
      </c>
      <c r="P36" s="58">
        <f>L36/100*75</f>
        <v>2502</v>
      </c>
      <c r="Q36" s="58">
        <v>1056</v>
      </c>
      <c r="R36" s="57" t="s">
        <v>30</v>
      </c>
      <c r="S36" s="56" t="s">
        <v>50</v>
      </c>
      <c r="T36" s="57" t="s">
        <v>29</v>
      </c>
      <c r="U36" s="58"/>
      <c r="V36" s="57" t="s">
        <v>29</v>
      </c>
      <c r="W36" s="58">
        <v>1293</v>
      </c>
      <c r="X36" s="58">
        <v>3</v>
      </c>
      <c r="Y36" s="58">
        <v>108</v>
      </c>
      <c r="Z36" s="59" t="s">
        <v>30</v>
      </c>
      <c r="AA36" s="58">
        <v>1</v>
      </c>
      <c r="AB36" s="58">
        <v>60</v>
      </c>
      <c r="AC36" s="58">
        <v>3</v>
      </c>
      <c r="AD36" s="59" t="s">
        <v>30</v>
      </c>
      <c r="AE36" s="58">
        <v>12</v>
      </c>
      <c r="AF36" s="58">
        <v>162</v>
      </c>
      <c r="AG36" s="59" t="s">
        <v>30</v>
      </c>
      <c r="AH36" s="58">
        <v>6</v>
      </c>
      <c r="AI36" s="58">
        <v>210</v>
      </c>
      <c r="AJ36" s="59" t="s">
        <v>30</v>
      </c>
      <c r="AK36" s="56" t="s">
        <v>28</v>
      </c>
      <c r="AL36" s="60"/>
      <c r="AM36" s="60"/>
      <c r="AN36" s="57" t="s">
        <v>29</v>
      </c>
      <c r="AO36" s="57" t="s">
        <v>28</v>
      </c>
      <c r="AP36" s="57" t="s">
        <v>28</v>
      </c>
      <c r="AQ36" s="56" t="s">
        <v>28</v>
      </c>
      <c r="AR36" s="56" t="s">
        <v>29</v>
      </c>
      <c r="AS36" s="56" t="s">
        <v>28</v>
      </c>
      <c r="AT36" s="56" t="s">
        <v>29</v>
      </c>
      <c r="AU36" s="56" t="s">
        <v>28</v>
      </c>
      <c r="AV36" s="56" t="s">
        <v>28</v>
      </c>
      <c r="AW36" s="56" t="s">
        <v>28</v>
      </c>
      <c r="AX36" s="56" t="s">
        <v>28</v>
      </c>
      <c r="AY36" s="56" t="s">
        <v>28</v>
      </c>
      <c r="AZ36" s="58">
        <v>40</v>
      </c>
      <c r="BA36" s="59" t="s">
        <v>30</v>
      </c>
      <c r="BB36" s="81">
        <v>4800</v>
      </c>
      <c r="BC36" s="59" t="s">
        <v>30</v>
      </c>
      <c r="BD36" s="38">
        <f t="shared" si="5"/>
        <v>34285.714285714283</v>
      </c>
      <c r="BE36" s="46">
        <v>0</v>
      </c>
      <c r="BF36" s="59" t="s">
        <v>30</v>
      </c>
      <c r="BG36" s="57" t="s">
        <v>28</v>
      </c>
      <c r="BH36" s="45">
        <f>P36/100*47*11.29</f>
        <v>13276.3626</v>
      </c>
      <c r="BI36" s="45">
        <f>P36/100*47*22.59</f>
        <v>26564.4846</v>
      </c>
      <c r="BJ36" s="45">
        <v>18774</v>
      </c>
      <c r="BK36" s="86">
        <f t="shared" si="7"/>
        <v>58614.847200000004</v>
      </c>
      <c r="BL36" s="46">
        <f t="shared" si="6"/>
        <v>0</v>
      </c>
      <c r="BM36" s="90">
        <f t="shared" si="8"/>
        <v>0</v>
      </c>
      <c r="BN36" s="61" t="s">
        <v>50</v>
      </c>
      <c r="BO36" s="61" t="s">
        <v>458</v>
      </c>
    </row>
    <row r="37" spans="1:67" s="54" customFormat="1" ht="30">
      <c r="A37" s="55" t="s">
        <v>114</v>
      </c>
      <c r="B37" s="56" t="s">
        <v>27</v>
      </c>
      <c r="C37" s="36" t="s">
        <v>370</v>
      </c>
      <c r="D37" s="37" t="s">
        <v>375</v>
      </c>
      <c r="E37" s="57" t="s">
        <v>29</v>
      </c>
      <c r="F37" s="57" t="s">
        <v>28</v>
      </c>
      <c r="G37" s="57" t="s">
        <v>28</v>
      </c>
      <c r="H37" s="57" t="s">
        <v>28</v>
      </c>
      <c r="I37" s="57" t="s">
        <v>28</v>
      </c>
      <c r="J37" s="57" t="s">
        <v>28</v>
      </c>
      <c r="K37" s="58">
        <v>1852</v>
      </c>
      <c r="L37" s="58">
        <v>10011</v>
      </c>
      <c r="M37" s="57" t="s">
        <v>30</v>
      </c>
      <c r="N37" s="58">
        <v>6253</v>
      </c>
      <c r="O37" s="59" t="s">
        <v>30</v>
      </c>
      <c r="P37" s="58">
        <f>L37/100*72</f>
        <v>7207.92</v>
      </c>
      <c r="Q37" s="58">
        <v>3758</v>
      </c>
      <c r="R37" s="57" t="s">
        <v>30</v>
      </c>
      <c r="S37" s="56" t="s">
        <v>28</v>
      </c>
      <c r="T37" s="57" t="s">
        <v>29</v>
      </c>
      <c r="U37" s="58">
        <v>40108</v>
      </c>
      <c r="V37" s="57" t="s">
        <v>29</v>
      </c>
      <c r="W37" s="58">
        <v>2844</v>
      </c>
      <c r="X37" s="58">
        <v>61</v>
      </c>
      <c r="Y37" s="58">
        <v>2168</v>
      </c>
      <c r="Z37" s="59" t="s">
        <v>30</v>
      </c>
      <c r="AA37" s="58">
        <v>10</v>
      </c>
      <c r="AB37" s="58"/>
      <c r="AC37" s="58">
        <v>31</v>
      </c>
      <c r="AD37" s="59" t="s">
        <v>30</v>
      </c>
      <c r="AE37" s="58">
        <v>20</v>
      </c>
      <c r="AF37" s="58">
        <v>1100</v>
      </c>
      <c r="AG37" s="59" t="s">
        <v>31</v>
      </c>
      <c r="AH37" s="58">
        <v>1</v>
      </c>
      <c r="AI37" s="58">
        <v>100</v>
      </c>
      <c r="AJ37" s="59" t="s">
        <v>31</v>
      </c>
      <c r="AK37" s="56" t="s">
        <v>29</v>
      </c>
      <c r="AL37" s="60">
        <v>4.5</v>
      </c>
      <c r="AM37" s="60">
        <v>1</v>
      </c>
      <c r="AN37" s="57" t="s">
        <v>29</v>
      </c>
      <c r="AO37" s="57" t="s">
        <v>28</v>
      </c>
      <c r="AP37" s="57" t="s">
        <v>28</v>
      </c>
      <c r="AQ37" s="56" t="s">
        <v>28</v>
      </c>
      <c r="AR37" s="56" t="s">
        <v>29</v>
      </c>
      <c r="AS37" s="56" t="s">
        <v>29</v>
      </c>
      <c r="AT37" s="56" t="s">
        <v>29</v>
      </c>
      <c r="AU37" s="56" t="s">
        <v>29</v>
      </c>
      <c r="AV37" s="56" t="s">
        <v>29</v>
      </c>
      <c r="AW37" s="56" t="s">
        <v>29</v>
      </c>
      <c r="AX37" s="56" t="s">
        <v>28</v>
      </c>
      <c r="AY37" s="56" t="s">
        <v>115</v>
      </c>
      <c r="AZ37" s="58">
        <v>62</v>
      </c>
      <c r="BA37" s="59" t="s">
        <v>30</v>
      </c>
      <c r="BB37" s="81">
        <v>2688</v>
      </c>
      <c r="BC37" s="59" t="s">
        <v>30</v>
      </c>
      <c r="BD37" s="38">
        <f t="shared" si="5"/>
        <v>19200</v>
      </c>
      <c r="BE37" s="46">
        <v>4</v>
      </c>
      <c r="BF37" s="59" t="s">
        <v>30</v>
      </c>
      <c r="BG37" s="57" t="s">
        <v>28</v>
      </c>
      <c r="BH37" s="45">
        <f>P37/100*44*17.99</f>
        <v>57055.011551999996</v>
      </c>
      <c r="BI37" s="45">
        <f>P37/100*44*35.98</f>
        <v>114110.02310399999</v>
      </c>
      <c r="BJ37" s="45">
        <v>34280.802499999998</v>
      </c>
      <c r="BK37" s="86">
        <f t="shared" si="7"/>
        <v>205445.83715599997</v>
      </c>
      <c r="BL37" s="46">
        <f t="shared" si="6"/>
        <v>2.133</v>
      </c>
      <c r="BM37" s="90">
        <f t="shared" si="8"/>
        <v>6.133</v>
      </c>
      <c r="BN37" s="61" t="s">
        <v>116</v>
      </c>
      <c r="BO37" s="61" t="s">
        <v>117</v>
      </c>
    </row>
    <row r="38" spans="1:67" s="54" customFormat="1" ht="180">
      <c r="A38" s="55" t="s">
        <v>241</v>
      </c>
      <c r="B38" s="56" t="s">
        <v>42</v>
      </c>
      <c r="C38" s="36" t="s">
        <v>373</v>
      </c>
      <c r="D38" s="37" t="s">
        <v>375</v>
      </c>
      <c r="E38" s="57" t="s">
        <v>29</v>
      </c>
      <c r="F38" s="57" t="s">
        <v>28</v>
      </c>
      <c r="G38" s="57" t="s">
        <v>28</v>
      </c>
      <c r="H38" s="57" t="s">
        <v>28</v>
      </c>
      <c r="I38" s="57" t="s">
        <v>28</v>
      </c>
      <c r="J38" s="57" t="s">
        <v>28</v>
      </c>
      <c r="K38" s="58">
        <v>1568</v>
      </c>
      <c r="L38" s="58">
        <v>15024</v>
      </c>
      <c r="M38" s="57" t="s">
        <v>30</v>
      </c>
      <c r="N38" s="58">
        <v>10492</v>
      </c>
      <c r="O38" s="59" t="s">
        <v>30</v>
      </c>
      <c r="P38" s="58">
        <f>L38/100*72</f>
        <v>10817.28</v>
      </c>
      <c r="Q38" s="58">
        <v>4540</v>
      </c>
      <c r="R38" s="57" t="s">
        <v>30</v>
      </c>
      <c r="S38" s="56" t="s">
        <v>50</v>
      </c>
      <c r="T38" s="57" t="s">
        <v>29</v>
      </c>
      <c r="U38" s="58">
        <v>5229</v>
      </c>
      <c r="V38" s="57" t="s">
        <v>29</v>
      </c>
      <c r="W38" s="58">
        <v>466510</v>
      </c>
      <c r="X38" s="58">
        <v>12</v>
      </c>
      <c r="Y38" s="58">
        <v>580</v>
      </c>
      <c r="Z38" s="59" t="s">
        <v>30</v>
      </c>
      <c r="AA38" s="58">
        <v>110</v>
      </c>
      <c r="AB38" s="58">
        <v>4806</v>
      </c>
      <c r="AC38" s="58">
        <v>36</v>
      </c>
      <c r="AD38" s="59" t="s">
        <v>30</v>
      </c>
      <c r="AE38" s="58">
        <v>55</v>
      </c>
      <c r="AF38" s="58">
        <v>1198</v>
      </c>
      <c r="AG38" s="59" t="s">
        <v>30</v>
      </c>
      <c r="AH38" s="58">
        <v>57</v>
      </c>
      <c r="AI38" s="58">
        <v>52715</v>
      </c>
      <c r="AJ38" s="59" t="s">
        <v>30</v>
      </c>
      <c r="AK38" s="56" t="s">
        <v>28</v>
      </c>
      <c r="AL38" s="60"/>
      <c r="AM38" s="60"/>
      <c r="AN38" s="57" t="s">
        <v>29</v>
      </c>
      <c r="AO38" s="57" t="s">
        <v>28</v>
      </c>
      <c r="AP38" s="57" t="s">
        <v>28</v>
      </c>
      <c r="AQ38" s="56" t="s">
        <v>29</v>
      </c>
      <c r="AR38" s="56" t="s">
        <v>29</v>
      </c>
      <c r="AS38" s="56" t="s">
        <v>28</v>
      </c>
      <c r="AT38" s="56" t="s">
        <v>29</v>
      </c>
      <c r="AU38" s="56" t="s">
        <v>28</v>
      </c>
      <c r="AV38" s="56" t="s">
        <v>28</v>
      </c>
      <c r="AW38" s="56" t="s">
        <v>28</v>
      </c>
      <c r="AX38" s="56" t="s">
        <v>28</v>
      </c>
      <c r="AY38" s="56" t="s">
        <v>242</v>
      </c>
      <c r="AZ38" s="58">
        <v>27</v>
      </c>
      <c r="BA38" s="59" t="s">
        <v>30</v>
      </c>
      <c r="BB38" s="81">
        <v>4000</v>
      </c>
      <c r="BC38" s="59" t="s">
        <v>31</v>
      </c>
      <c r="BD38" s="38">
        <f t="shared" si="5"/>
        <v>28571.428571428572</v>
      </c>
      <c r="BE38" s="46">
        <v>17</v>
      </c>
      <c r="BF38" s="59" t="s">
        <v>30</v>
      </c>
      <c r="BG38" s="57" t="s">
        <v>29</v>
      </c>
      <c r="BH38" s="45">
        <f>P38/100*44*12.91</f>
        <v>61446.47731200001</v>
      </c>
      <c r="BI38" s="45">
        <f>P38/100*44*25.82</f>
        <v>122892.95462400002</v>
      </c>
      <c r="BJ38" s="45">
        <v>951637.11124999996</v>
      </c>
      <c r="BK38" s="86">
        <f t="shared" si="7"/>
        <v>1135976.5431860001</v>
      </c>
      <c r="BL38" s="46">
        <f t="shared" si="6"/>
        <v>9.0652500000000007</v>
      </c>
      <c r="BM38" s="90">
        <f t="shared" si="8"/>
        <v>26.065249999999999</v>
      </c>
      <c r="BN38" s="61" t="s">
        <v>243</v>
      </c>
      <c r="BO38" s="61" t="s">
        <v>244</v>
      </c>
    </row>
    <row r="39" spans="1:67" s="54" customFormat="1" ht="45">
      <c r="A39" s="55" t="s">
        <v>336</v>
      </c>
      <c r="B39" s="56" t="s">
        <v>36</v>
      </c>
      <c r="C39" s="36" t="s">
        <v>373</v>
      </c>
      <c r="D39" s="37" t="s">
        <v>377</v>
      </c>
      <c r="E39" s="57" t="s">
        <v>28</v>
      </c>
      <c r="F39" s="57" t="s">
        <v>28</v>
      </c>
      <c r="G39" s="57" t="s">
        <v>28</v>
      </c>
      <c r="H39" s="57" t="s">
        <v>29</v>
      </c>
      <c r="I39" s="57" t="s">
        <v>28</v>
      </c>
      <c r="J39" s="57" t="s">
        <v>28</v>
      </c>
      <c r="K39" s="58"/>
      <c r="L39" s="58">
        <v>401</v>
      </c>
      <c r="M39" s="57" t="s">
        <v>31</v>
      </c>
      <c r="N39" s="58"/>
      <c r="O39" s="59" t="s">
        <v>32</v>
      </c>
      <c r="P39" s="58">
        <f>L39/100*75</f>
        <v>300.75</v>
      </c>
      <c r="Q39" s="58" t="s">
        <v>32</v>
      </c>
      <c r="R39" s="57" t="s">
        <v>32</v>
      </c>
      <c r="S39" s="56" t="s">
        <v>337</v>
      </c>
      <c r="T39" s="57" t="s">
        <v>29</v>
      </c>
      <c r="U39" s="58">
        <v>5748</v>
      </c>
      <c r="V39" s="57" t="s">
        <v>29</v>
      </c>
      <c r="W39" s="58">
        <v>2319</v>
      </c>
      <c r="X39" s="58">
        <v>51</v>
      </c>
      <c r="Y39" s="58">
        <v>731</v>
      </c>
      <c r="Z39" s="59" t="s">
        <v>31</v>
      </c>
      <c r="AA39" s="58"/>
      <c r="AB39" s="58"/>
      <c r="AC39" s="58">
        <v>1</v>
      </c>
      <c r="AD39" s="59" t="s">
        <v>31</v>
      </c>
      <c r="AE39" s="58"/>
      <c r="AF39" s="58"/>
      <c r="AG39" s="59"/>
      <c r="AH39" s="58"/>
      <c r="AI39" s="58"/>
      <c r="AJ39" s="59" t="s">
        <v>32</v>
      </c>
      <c r="AK39" s="56" t="s">
        <v>28</v>
      </c>
      <c r="AL39" s="60"/>
      <c r="AM39" s="60"/>
      <c r="AN39" s="57" t="s">
        <v>28</v>
      </c>
      <c r="AO39" s="57" t="s">
        <v>28</v>
      </c>
      <c r="AP39" s="57" t="s">
        <v>28</v>
      </c>
      <c r="AQ39" s="56" t="s">
        <v>28</v>
      </c>
      <c r="AR39" s="56" t="s">
        <v>28</v>
      </c>
      <c r="AS39" s="56" t="s">
        <v>28</v>
      </c>
      <c r="AT39" s="56" t="s">
        <v>28</v>
      </c>
      <c r="AU39" s="56" t="s">
        <v>28</v>
      </c>
      <c r="AV39" s="56" t="s">
        <v>28</v>
      </c>
      <c r="AW39" s="56" t="s">
        <v>28</v>
      </c>
      <c r="AX39" s="56" t="s">
        <v>28</v>
      </c>
      <c r="AY39" s="56" t="s">
        <v>28</v>
      </c>
      <c r="AZ39" s="58">
        <v>1</v>
      </c>
      <c r="BA39" s="59" t="s">
        <v>30</v>
      </c>
      <c r="BB39" s="81" t="s">
        <v>32</v>
      </c>
      <c r="BC39" s="59" t="s">
        <v>32</v>
      </c>
      <c r="BD39" s="38"/>
      <c r="BE39" s="46">
        <v>1</v>
      </c>
      <c r="BF39" s="59" t="s">
        <v>31</v>
      </c>
      <c r="BG39" s="57" t="s">
        <v>29</v>
      </c>
      <c r="BH39" s="45">
        <f>P39/100*47*12.91</f>
        <v>1824.8607749999999</v>
      </c>
      <c r="BI39" s="45">
        <f>P39/100*47*25.82</f>
        <v>3649.7215499999998</v>
      </c>
      <c r="BJ39" s="45">
        <v>17861.375</v>
      </c>
      <c r="BK39" s="86">
        <f t="shared" si="7"/>
        <v>23335.957324999999</v>
      </c>
      <c r="BL39" s="46">
        <f t="shared" si="6"/>
        <v>0.53325</v>
      </c>
      <c r="BM39" s="90">
        <f t="shared" si="8"/>
        <v>1.53325</v>
      </c>
      <c r="BN39" s="61" t="s">
        <v>32</v>
      </c>
      <c r="BO39" s="61" t="s">
        <v>32</v>
      </c>
    </row>
    <row r="40" spans="1:67" s="54" customFormat="1" ht="60">
      <c r="A40" s="55" t="s">
        <v>218</v>
      </c>
      <c r="B40" s="56" t="s">
        <v>27</v>
      </c>
      <c r="C40" s="36" t="s">
        <v>373</v>
      </c>
      <c r="D40" s="37" t="s">
        <v>377</v>
      </c>
      <c r="E40" s="57" t="s">
        <v>28</v>
      </c>
      <c r="F40" s="57" t="s">
        <v>28</v>
      </c>
      <c r="G40" s="57" t="s">
        <v>28</v>
      </c>
      <c r="H40" s="57" t="s">
        <v>28</v>
      </c>
      <c r="I40" s="57" t="s">
        <v>29</v>
      </c>
      <c r="J40" s="57" t="s">
        <v>28</v>
      </c>
      <c r="K40" s="58">
        <v>150</v>
      </c>
      <c r="L40" s="58">
        <v>3849</v>
      </c>
      <c r="M40" s="57" t="s">
        <v>31</v>
      </c>
      <c r="N40" s="58">
        <v>962</v>
      </c>
      <c r="O40" s="59" t="s">
        <v>31</v>
      </c>
      <c r="P40" s="58">
        <f>L40/100*75</f>
        <v>2886.75</v>
      </c>
      <c r="Q40" s="58">
        <v>2886.75</v>
      </c>
      <c r="R40" s="57" t="s">
        <v>31</v>
      </c>
      <c r="S40" s="56" t="s">
        <v>219</v>
      </c>
      <c r="T40" s="57" t="s">
        <v>28</v>
      </c>
      <c r="U40" s="58"/>
      <c r="V40" s="57" t="s">
        <v>29</v>
      </c>
      <c r="W40" s="58">
        <v>1239</v>
      </c>
      <c r="X40" s="58">
        <v>12</v>
      </c>
      <c r="Y40" s="58">
        <v>436</v>
      </c>
      <c r="Z40" s="59" t="s">
        <v>30</v>
      </c>
      <c r="AA40" s="58">
        <v>20</v>
      </c>
      <c r="AB40" s="58">
        <v>2353</v>
      </c>
      <c r="AC40" s="58">
        <v>37</v>
      </c>
      <c r="AD40" s="59" t="s">
        <v>31</v>
      </c>
      <c r="AE40" s="58">
        <v>22</v>
      </c>
      <c r="AF40" s="58">
        <v>660</v>
      </c>
      <c r="AG40" s="59" t="s">
        <v>31</v>
      </c>
      <c r="AH40" s="58"/>
      <c r="AI40" s="58"/>
      <c r="AJ40" s="59" t="s">
        <v>31</v>
      </c>
      <c r="AK40" s="56" t="s">
        <v>44</v>
      </c>
      <c r="AL40" s="60"/>
      <c r="AM40" s="60"/>
      <c r="AN40" s="57" t="s">
        <v>28</v>
      </c>
      <c r="AO40" s="57" t="s">
        <v>28</v>
      </c>
      <c r="AP40" s="57" t="s">
        <v>28</v>
      </c>
      <c r="AQ40" s="56" t="s">
        <v>28</v>
      </c>
      <c r="AR40" s="56" t="s">
        <v>28</v>
      </c>
      <c r="AS40" s="56" t="s">
        <v>28</v>
      </c>
      <c r="AT40" s="56" t="s">
        <v>29</v>
      </c>
      <c r="AU40" s="56" t="s">
        <v>28</v>
      </c>
      <c r="AV40" s="56" t="s">
        <v>28</v>
      </c>
      <c r="AW40" s="56" t="s">
        <v>28</v>
      </c>
      <c r="AX40" s="56" t="s">
        <v>28</v>
      </c>
      <c r="AY40" s="56" t="s">
        <v>28</v>
      </c>
      <c r="AZ40" s="58">
        <v>11</v>
      </c>
      <c r="BA40" s="59" t="s">
        <v>30</v>
      </c>
      <c r="BB40" s="81">
        <v>1917.3</v>
      </c>
      <c r="BC40" s="59" t="s">
        <v>30</v>
      </c>
      <c r="BD40" s="38">
        <f>BB40/7*50</f>
        <v>13694.999999999998</v>
      </c>
      <c r="BE40" s="46">
        <v>0.8</v>
      </c>
      <c r="BF40" s="59" t="s">
        <v>30</v>
      </c>
      <c r="BG40" s="57" t="s">
        <v>28</v>
      </c>
      <c r="BH40" s="45">
        <f>P40/100*47*12.91</f>
        <v>17515.932975</v>
      </c>
      <c r="BI40" s="45">
        <f>P40/100*47*25.82</f>
        <v>35031.865949999999</v>
      </c>
      <c r="BJ40" s="45">
        <v>5215</v>
      </c>
      <c r="BK40" s="86">
        <f t="shared" si="7"/>
        <v>57762.798924999996</v>
      </c>
      <c r="BL40" s="46">
        <f t="shared" si="6"/>
        <v>0.42660000000000003</v>
      </c>
      <c r="BM40" s="90">
        <f t="shared" si="8"/>
        <v>1.2266000000000001</v>
      </c>
      <c r="BN40" s="61" t="s">
        <v>106</v>
      </c>
      <c r="BO40" s="61" t="s">
        <v>106</v>
      </c>
    </row>
    <row r="41" spans="1:67" s="54" customFormat="1" ht="60">
      <c r="A41" s="55" t="s">
        <v>147</v>
      </c>
      <c r="B41" s="56" t="s">
        <v>27</v>
      </c>
      <c r="C41" s="36" t="s">
        <v>373</v>
      </c>
      <c r="D41" s="37" t="s">
        <v>377</v>
      </c>
      <c r="E41" s="57" t="s">
        <v>29</v>
      </c>
      <c r="F41" s="57" t="s">
        <v>28</v>
      </c>
      <c r="G41" s="57" t="s">
        <v>28</v>
      </c>
      <c r="H41" s="57" t="s">
        <v>28</v>
      </c>
      <c r="I41" s="57" t="s">
        <v>28</v>
      </c>
      <c r="J41" s="57" t="s">
        <v>28</v>
      </c>
      <c r="K41" s="58">
        <v>410</v>
      </c>
      <c r="L41" s="58">
        <v>3618</v>
      </c>
      <c r="M41" s="57" t="s">
        <v>30</v>
      </c>
      <c r="N41" s="58">
        <v>1779</v>
      </c>
      <c r="O41" s="59" t="s">
        <v>31</v>
      </c>
      <c r="P41" s="58">
        <f>L41/100*75</f>
        <v>2713.5</v>
      </c>
      <c r="Q41" s="58">
        <v>1633</v>
      </c>
      <c r="R41" s="57" t="s">
        <v>31</v>
      </c>
      <c r="S41" s="56" t="s">
        <v>148</v>
      </c>
      <c r="T41" s="57" t="s">
        <v>29</v>
      </c>
      <c r="U41" s="58"/>
      <c r="V41" s="57" t="s">
        <v>29</v>
      </c>
      <c r="W41" s="58">
        <v>3059</v>
      </c>
      <c r="X41" s="58">
        <v>25</v>
      </c>
      <c r="Y41" s="58">
        <v>617</v>
      </c>
      <c r="Z41" s="59" t="s">
        <v>30</v>
      </c>
      <c r="AA41" s="58">
        <v>5</v>
      </c>
      <c r="AB41" s="58">
        <v>406</v>
      </c>
      <c r="AC41" s="58">
        <v>25</v>
      </c>
      <c r="AD41" s="59" t="s">
        <v>30</v>
      </c>
      <c r="AE41" s="58">
        <v>106</v>
      </c>
      <c r="AF41" s="58">
        <v>3179</v>
      </c>
      <c r="AG41" s="59" t="s">
        <v>30</v>
      </c>
      <c r="AH41" s="58">
        <v>7</v>
      </c>
      <c r="AI41" s="58">
        <v>461</v>
      </c>
      <c r="AJ41" s="59" t="s">
        <v>30</v>
      </c>
      <c r="AK41" s="56" t="s">
        <v>28</v>
      </c>
      <c r="AL41" s="60"/>
      <c r="AM41" s="60"/>
      <c r="AN41" s="57" t="s">
        <v>29</v>
      </c>
      <c r="AO41" s="57" t="s">
        <v>28</v>
      </c>
      <c r="AP41" s="57" t="s">
        <v>28</v>
      </c>
      <c r="AQ41" s="56" t="s">
        <v>28</v>
      </c>
      <c r="AR41" s="56" t="s">
        <v>28</v>
      </c>
      <c r="AS41" s="56" t="s">
        <v>28</v>
      </c>
      <c r="AT41" s="56" t="s">
        <v>29</v>
      </c>
      <c r="AU41" s="56" t="s">
        <v>28</v>
      </c>
      <c r="AV41" s="56" t="s">
        <v>28</v>
      </c>
      <c r="AW41" s="56" t="s">
        <v>29</v>
      </c>
      <c r="AX41" s="56" t="s">
        <v>28</v>
      </c>
      <c r="AY41" s="56" t="s">
        <v>28</v>
      </c>
      <c r="AZ41" s="58">
        <v>15</v>
      </c>
      <c r="BA41" s="59" t="s">
        <v>31</v>
      </c>
      <c r="BB41" s="81" t="s">
        <v>149</v>
      </c>
      <c r="BC41" s="59" t="s">
        <v>30</v>
      </c>
      <c r="BD41" s="38"/>
      <c r="BE41" s="46">
        <v>1</v>
      </c>
      <c r="BF41" s="59" t="s">
        <v>30</v>
      </c>
      <c r="BG41" s="57" t="s">
        <v>73</v>
      </c>
      <c r="BH41" s="45">
        <f>P41/100*47*12.91</f>
        <v>16464.703949999999</v>
      </c>
      <c r="BI41" s="45">
        <f>P41/100*47*25.82</f>
        <v>32929.407899999998</v>
      </c>
      <c r="BJ41" s="45">
        <v>759.34311249999973</v>
      </c>
      <c r="BK41" s="86">
        <f t="shared" si="7"/>
        <v>50153.4549625</v>
      </c>
      <c r="BL41" s="46">
        <f t="shared" si="6"/>
        <v>0.53325</v>
      </c>
      <c r="BM41" s="90">
        <f t="shared" si="8"/>
        <v>1.53325</v>
      </c>
      <c r="BN41" s="61" t="s">
        <v>150</v>
      </c>
      <c r="BO41" s="61" t="s">
        <v>32</v>
      </c>
    </row>
    <row r="42" spans="1:67" s="54" customFormat="1" ht="60">
      <c r="A42" s="55" t="s">
        <v>394</v>
      </c>
      <c r="B42" s="56" t="s">
        <v>27</v>
      </c>
      <c r="C42" s="36" t="s">
        <v>369</v>
      </c>
      <c r="D42" s="37" t="s">
        <v>377</v>
      </c>
      <c r="E42" s="57" t="s">
        <v>28</v>
      </c>
      <c r="F42" s="57" t="s">
        <v>29</v>
      </c>
      <c r="G42" s="57" t="s">
        <v>28</v>
      </c>
      <c r="H42" s="57" t="s">
        <v>28</v>
      </c>
      <c r="I42" s="57" t="s">
        <v>28</v>
      </c>
      <c r="J42" s="57" t="s">
        <v>28</v>
      </c>
      <c r="K42" s="58">
        <v>200</v>
      </c>
      <c r="L42" s="58">
        <v>1100</v>
      </c>
      <c r="M42" s="57" t="s">
        <v>31</v>
      </c>
      <c r="N42" s="58">
        <v>1050</v>
      </c>
      <c r="O42" s="59" t="s">
        <v>31</v>
      </c>
      <c r="P42" s="58">
        <f>L42/100*75</f>
        <v>825</v>
      </c>
      <c r="Q42" s="58">
        <v>50</v>
      </c>
      <c r="R42" s="57" t="s">
        <v>31</v>
      </c>
      <c r="S42" s="56" t="s">
        <v>264</v>
      </c>
      <c r="T42" s="57" t="s">
        <v>29</v>
      </c>
      <c r="U42" s="58"/>
      <c r="V42" s="57" t="s">
        <v>29</v>
      </c>
      <c r="W42" s="58"/>
      <c r="X42" s="58">
        <v>0</v>
      </c>
      <c r="Y42" s="58">
        <v>0</v>
      </c>
      <c r="Z42" s="59" t="s">
        <v>30</v>
      </c>
      <c r="AA42" s="58">
        <v>0</v>
      </c>
      <c r="AB42" s="58">
        <v>0</v>
      </c>
      <c r="AC42" s="58"/>
      <c r="AD42" s="59" t="s">
        <v>30</v>
      </c>
      <c r="AE42" s="58">
        <v>10</v>
      </c>
      <c r="AF42" s="58">
        <v>10</v>
      </c>
      <c r="AG42" s="59" t="s">
        <v>30</v>
      </c>
      <c r="AH42" s="58">
        <v>0</v>
      </c>
      <c r="AI42" s="58">
        <v>0</v>
      </c>
      <c r="AJ42" s="59" t="s">
        <v>30</v>
      </c>
      <c r="AK42" s="56" t="s">
        <v>44</v>
      </c>
      <c r="AL42" s="60"/>
      <c r="AM42" s="60"/>
      <c r="AN42" s="57" t="s">
        <v>29</v>
      </c>
      <c r="AO42" s="57" t="s">
        <v>28</v>
      </c>
      <c r="AP42" s="57" t="s">
        <v>28</v>
      </c>
      <c r="AQ42" s="56" t="s">
        <v>28</v>
      </c>
      <c r="AR42" s="56" t="s">
        <v>28</v>
      </c>
      <c r="AS42" s="56" t="s">
        <v>28</v>
      </c>
      <c r="AT42" s="56" t="s">
        <v>28</v>
      </c>
      <c r="AU42" s="56" t="s">
        <v>28</v>
      </c>
      <c r="AV42" s="56" t="s">
        <v>28</v>
      </c>
      <c r="AW42" s="56" t="s">
        <v>28</v>
      </c>
      <c r="AX42" s="56" t="s">
        <v>61</v>
      </c>
      <c r="AY42" s="56" t="s">
        <v>28</v>
      </c>
      <c r="AZ42" s="58">
        <v>21</v>
      </c>
      <c r="BA42" s="59" t="s">
        <v>30</v>
      </c>
      <c r="BB42" s="81">
        <v>2672</v>
      </c>
      <c r="BC42" s="59" t="s">
        <v>31</v>
      </c>
      <c r="BD42" s="38">
        <f t="shared" ref="BD42:BD49" si="9">BB42/7*50</f>
        <v>19085.714285714286</v>
      </c>
      <c r="BE42" s="46">
        <v>0</v>
      </c>
      <c r="BF42" s="59" t="s">
        <v>30</v>
      </c>
      <c r="BG42" s="57" t="s">
        <v>29</v>
      </c>
      <c r="BH42" s="45">
        <f>P42/100*47*14.08</f>
        <v>5459.52</v>
      </c>
      <c r="BI42" s="45">
        <f>P42/100*47*28.16</f>
        <v>10919.04</v>
      </c>
      <c r="BJ42" s="45">
        <v>9681.6474999999991</v>
      </c>
      <c r="BK42" s="86">
        <f t="shared" si="7"/>
        <v>26060.2075</v>
      </c>
      <c r="BL42" s="46">
        <f t="shared" si="6"/>
        <v>0</v>
      </c>
      <c r="BM42" s="90">
        <f t="shared" si="8"/>
        <v>0</v>
      </c>
      <c r="BN42" s="61" t="s">
        <v>265</v>
      </c>
      <c r="BO42" s="61" t="s">
        <v>266</v>
      </c>
    </row>
    <row r="43" spans="1:67" s="54" customFormat="1" ht="30">
      <c r="A43" s="55" t="s">
        <v>143</v>
      </c>
      <c r="B43" s="56" t="s">
        <v>27</v>
      </c>
      <c r="C43" s="36" t="s">
        <v>370</v>
      </c>
      <c r="D43" s="37" t="s">
        <v>375</v>
      </c>
      <c r="E43" s="57" t="s">
        <v>28</v>
      </c>
      <c r="F43" s="57" t="s">
        <v>29</v>
      </c>
      <c r="G43" s="57" t="s">
        <v>28</v>
      </c>
      <c r="H43" s="57" t="s">
        <v>28</v>
      </c>
      <c r="I43" s="57" t="s">
        <v>28</v>
      </c>
      <c r="J43" s="57" t="s">
        <v>28</v>
      </c>
      <c r="K43" s="58">
        <v>1200</v>
      </c>
      <c r="L43" s="58">
        <v>11500</v>
      </c>
      <c r="M43" s="57" t="s">
        <v>31</v>
      </c>
      <c r="N43" s="58">
        <v>6657</v>
      </c>
      <c r="O43" s="59" t="s">
        <v>30</v>
      </c>
      <c r="P43" s="58">
        <f>L43/100*72</f>
        <v>8280</v>
      </c>
      <c r="Q43" s="58">
        <v>3050</v>
      </c>
      <c r="R43" s="57" t="s">
        <v>31</v>
      </c>
      <c r="S43" s="56" t="s">
        <v>144</v>
      </c>
      <c r="T43" s="57" t="s">
        <v>29</v>
      </c>
      <c r="U43" s="58"/>
      <c r="V43" s="57" t="s">
        <v>29</v>
      </c>
      <c r="W43" s="58">
        <v>2000</v>
      </c>
      <c r="X43" s="58">
        <v>8</v>
      </c>
      <c r="Y43" s="58">
        <v>266</v>
      </c>
      <c r="Z43" s="59" t="s">
        <v>30</v>
      </c>
      <c r="AA43" s="58">
        <v>6</v>
      </c>
      <c r="AB43" s="58">
        <v>418</v>
      </c>
      <c r="AC43" s="58">
        <v>6</v>
      </c>
      <c r="AD43" s="59" t="s">
        <v>30</v>
      </c>
      <c r="AE43" s="58">
        <v>16</v>
      </c>
      <c r="AF43" s="58">
        <v>500</v>
      </c>
      <c r="AG43" s="59" t="s">
        <v>31</v>
      </c>
      <c r="AH43" s="58">
        <v>11</v>
      </c>
      <c r="AI43" s="58">
        <v>622</v>
      </c>
      <c r="AJ43" s="59" t="s">
        <v>30</v>
      </c>
      <c r="AK43" s="56" t="s">
        <v>29</v>
      </c>
      <c r="AL43" s="60">
        <v>5</v>
      </c>
      <c r="AM43" s="60">
        <v>3</v>
      </c>
      <c r="AN43" s="57" t="s">
        <v>29</v>
      </c>
      <c r="AO43" s="57" t="s">
        <v>29</v>
      </c>
      <c r="AP43" s="57"/>
      <c r="AQ43" s="56" t="s">
        <v>28</v>
      </c>
      <c r="AR43" s="56" t="s">
        <v>28</v>
      </c>
      <c r="AS43" s="56" t="s">
        <v>29</v>
      </c>
      <c r="AT43" s="56" t="s">
        <v>29</v>
      </c>
      <c r="AU43" s="56" t="s">
        <v>29</v>
      </c>
      <c r="AV43" s="56" t="s">
        <v>29</v>
      </c>
      <c r="AW43" s="56" t="s">
        <v>29</v>
      </c>
      <c r="AX43" s="56" t="s">
        <v>28</v>
      </c>
      <c r="AY43" s="56" t="s">
        <v>28</v>
      </c>
      <c r="AZ43" s="58">
        <v>32</v>
      </c>
      <c r="BA43" s="59" t="s">
        <v>30</v>
      </c>
      <c r="BB43" s="81">
        <v>3000</v>
      </c>
      <c r="BC43" s="59" t="s">
        <v>31</v>
      </c>
      <c r="BD43" s="38">
        <f t="shared" si="9"/>
        <v>21428.571428571428</v>
      </c>
      <c r="BE43" s="46">
        <v>3</v>
      </c>
      <c r="BF43" s="59" t="s">
        <v>30</v>
      </c>
      <c r="BG43" s="57" t="s">
        <v>28</v>
      </c>
      <c r="BH43" s="45">
        <f>P43/100*44*17.99</f>
        <v>65541.167999999991</v>
      </c>
      <c r="BI43" s="45">
        <f>P43/100*44*35.98</f>
        <v>131082.33599999998</v>
      </c>
      <c r="BJ43" s="45">
        <v>50846.25</v>
      </c>
      <c r="BK43" s="86">
        <f t="shared" si="7"/>
        <v>247469.75399999996</v>
      </c>
      <c r="BL43" s="46">
        <f t="shared" si="6"/>
        <v>1.59975</v>
      </c>
      <c r="BM43" s="90">
        <f t="shared" si="8"/>
        <v>4.5997500000000002</v>
      </c>
      <c r="BN43" s="61" t="s">
        <v>145</v>
      </c>
      <c r="BO43" s="61" t="s">
        <v>146</v>
      </c>
    </row>
    <row r="44" spans="1:67" s="54" customFormat="1" ht="75">
      <c r="A44" s="55" t="s">
        <v>105</v>
      </c>
      <c r="B44" s="56" t="s">
        <v>27</v>
      </c>
      <c r="C44" s="62" t="s">
        <v>371</v>
      </c>
      <c r="D44" s="37" t="s">
        <v>377</v>
      </c>
      <c r="E44" s="57" t="s">
        <v>28</v>
      </c>
      <c r="F44" s="57" t="s">
        <v>29</v>
      </c>
      <c r="G44" s="57" t="s">
        <v>28</v>
      </c>
      <c r="H44" s="57" t="s">
        <v>28</v>
      </c>
      <c r="I44" s="57" t="s">
        <v>28</v>
      </c>
      <c r="J44" s="57" t="s">
        <v>28</v>
      </c>
      <c r="K44" s="58">
        <v>361</v>
      </c>
      <c r="L44" s="58">
        <v>5231</v>
      </c>
      <c r="M44" s="57" t="s">
        <v>30</v>
      </c>
      <c r="N44" s="58">
        <v>4292</v>
      </c>
      <c r="O44" s="59" t="s">
        <v>30</v>
      </c>
      <c r="P44" s="58">
        <f>L44/100*75</f>
        <v>3923.25</v>
      </c>
      <c r="Q44" s="58">
        <v>939</v>
      </c>
      <c r="R44" s="57" t="s">
        <v>30</v>
      </c>
      <c r="S44" s="56" t="s">
        <v>106</v>
      </c>
      <c r="T44" s="57" t="s">
        <v>29</v>
      </c>
      <c r="U44" s="58">
        <v>4930</v>
      </c>
      <c r="V44" s="57" t="s">
        <v>29</v>
      </c>
      <c r="W44" s="58">
        <v>528</v>
      </c>
      <c r="X44" s="58">
        <v>0</v>
      </c>
      <c r="Y44" s="58">
        <v>0</v>
      </c>
      <c r="Z44" s="59" t="s">
        <v>30</v>
      </c>
      <c r="AA44" s="58">
        <v>0</v>
      </c>
      <c r="AB44" s="58">
        <v>0</v>
      </c>
      <c r="AC44" s="58">
        <v>0</v>
      </c>
      <c r="AD44" s="59" t="s">
        <v>30</v>
      </c>
      <c r="AE44" s="58">
        <v>1</v>
      </c>
      <c r="AF44" s="58">
        <v>5</v>
      </c>
      <c r="AG44" s="59" t="s">
        <v>30</v>
      </c>
      <c r="AH44" s="58">
        <v>14</v>
      </c>
      <c r="AI44" s="58">
        <v>560</v>
      </c>
      <c r="AJ44" s="59" t="s">
        <v>31</v>
      </c>
      <c r="AK44" s="56" t="s">
        <v>29</v>
      </c>
      <c r="AL44" s="60">
        <v>2</v>
      </c>
      <c r="AM44" s="60">
        <v>0.5</v>
      </c>
      <c r="AN44" s="57" t="s">
        <v>29</v>
      </c>
      <c r="AO44" s="57" t="s">
        <v>29</v>
      </c>
      <c r="AP44" s="57"/>
      <c r="AQ44" s="56" t="s">
        <v>28</v>
      </c>
      <c r="AR44" s="56" t="s">
        <v>28</v>
      </c>
      <c r="AS44" s="56" t="s">
        <v>28</v>
      </c>
      <c r="AT44" s="56" t="s">
        <v>28</v>
      </c>
      <c r="AU44" s="56" t="s">
        <v>29</v>
      </c>
      <c r="AV44" s="56" t="s">
        <v>28</v>
      </c>
      <c r="AW44" s="56" t="s">
        <v>28</v>
      </c>
      <c r="AX44" s="56" t="s">
        <v>28</v>
      </c>
      <c r="AY44" s="56" t="s">
        <v>28</v>
      </c>
      <c r="AZ44" s="58">
        <v>36</v>
      </c>
      <c r="BA44" s="59" t="s">
        <v>30</v>
      </c>
      <c r="BB44" s="81">
        <v>4780</v>
      </c>
      <c r="BC44" s="59" t="s">
        <v>30</v>
      </c>
      <c r="BD44" s="38">
        <f t="shared" si="9"/>
        <v>34142.857142857145</v>
      </c>
      <c r="BE44" s="46">
        <v>0</v>
      </c>
      <c r="BF44" s="59" t="s">
        <v>30</v>
      </c>
      <c r="BG44" s="57" t="s">
        <v>28</v>
      </c>
      <c r="BH44" s="45">
        <f>P44/100*47*12.86</f>
        <v>23712.907649999997</v>
      </c>
      <c r="BI44" s="45">
        <f>P44/100*47*23.73</f>
        <v>43756.399575000003</v>
      </c>
      <c r="BJ44" s="45">
        <v>19806.57</v>
      </c>
      <c r="BK44" s="86">
        <f t="shared" si="7"/>
        <v>87275.877225000004</v>
      </c>
      <c r="BL44" s="46">
        <f t="shared" si="6"/>
        <v>0</v>
      </c>
      <c r="BM44" s="90">
        <f t="shared" si="8"/>
        <v>0</v>
      </c>
      <c r="BN44" s="61" t="s">
        <v>106</v>
      </c>
      <c r="BO44" s="61" t="s">
        <v>107</v>
      </c>
    </row>
    <row r="45" spans="1:67" s="54" customFormat="1" ht="255">
      <c r="A45" s="55" t="s">
        <v>460</v>
      </c>
      <c r="B45" s="56" t="s">
        <v>36</v>
      </c>
      <c r="C45" s="36" t="s">
        <v>370</v>
      </c>
      <c r="D45" s="37" t="s">
        <v>376</v>
      </c>
      <c r="E45" s="57" t="s">
        <v>29</v>
      </c>
      <c r="F45" s="57" t="s">
        <v>28</v>
      </c>
      <c r="G45" s="57" t="s">
        <v>28</v>
      </c>
      <c r="H45" s="57" t="s">
        <v>28</v>
      </c>
      <c r="I45" s="57" t="s">
        <v>28</v>
      </c>
      <c r="J45" s="57" t="s">
        <v>28</v>
      </c>
      <c r="K45" s="58">
        <v>2085</v>
      </c>
      <c r="L45" s="58">
        <v>406736</v>
      </c>
      <c r="M45" s="57" t="s">
        <v>30</v>
      </c>
      <c r="N45" s="58">
        <v>343214</v>
      </c>
      <c r="O45" s="59" t="s">
        <v>30</v>
      </c>
      <c r="P45" s="58">
        <f>L45/100*69</f>
        <v>280647.84000000003</v>
      </c>
      <c r="Q45" s="58">
        <v>63522</v>
      </c>
      <c r="R45" s="57" t="s">
        <v>30</v>
      </c>
      <c r="S45" s="56" t="s">
        <v>232</v>
      </c>
      <c r="T45" s="57" t="s">
        <v>29</v>
      </c>
      <c r="U45" s="58">
        <v>347642</v>
      </c>
      <c r="V45" s="57" t="s">
        <v>29</v>
      </c>
      <c r="W45" s="58">
        <v>165000</v>
      </c>
      <c r="X45" s="58">
        <v>653</v>
      </c>
      <c r="Y45" s="58">
        <v>11856</v>
      </c>
      <c r="Z45" s="59" t="s">
        <v>30</v>
      </c>
      <c r="AA45" s="58">
        <v>17</v>
      </c>
      <c r="AB45" s="58">
        <v>285</v>
      </c>
      <c r="AC45" s="58">
        <v>308</v>
      </c>
      <c r="AD45" s="59" t="s">
        <v>30</v>
      </c>
      <c r="AE45" s="58">
        <v>445</v>
      </c>
      <c r="AF45" s="58">
        <v>20756</v>
      </c>
      <c r="AG45" s="59" t="s">
        <v>30</v>
      </c>
      <c r="AH45" s="58">
        <v>138</v>
      </c>
      <c r="AI45" s="58">
        <v>7232</v>
      </c>
      <c r="AJ45" s="59" t="s">
        <v>30</v>
      </c>
      <c r="AK45" s="56" t="s">
        <v>28</v>
      </c>
      <c r="AL45" s="60"/>
      <c r="AM45" s="60"/>
      <c r="AN45" s="57" t="s">
        <v>29</v>
      </c>
      <c r="AO45" s="57" t="s">
        <v>29</v>
      </c>
      <c r="AP45" s="57"/>
      <c r="AQ45" s="56" t="s">
        <v>29</v>
      </c>
      <c r="AR45" s="56" t="s">
        <v>29</v>
      </c>
      <c r="AS45" s="56" t="s">
        <v>29</v>
      </c>
      <c r="AT45" s="56" t="s">
        <v>29</v>
      </c>
      <c r="AU45" s="56" t="s">
        <v>29</v>
      </c>
      <c r="AV45" s="56" t="s">
        <v>29</v>
      </c>
      <c r="AW45" s="56" t="s">
        <v>29</v>
      </c>
      <c r="AX45" s="56" t="s">
        <v>233</v>
      </c>
      <c r="AY45" s="56" t="s">
        <v>28</v>
      </c>
      <c r="AZ45" s="58">
        <v>199</v>
      </c>
      <c r="BA45" s="59" t="s">
        <v>30</v>
      </c>
      <c r="BB45" s="81">
        <v>4000</v>
      </c>
      <c r="BC45" s="59" t="s">
        <v>31</v>
      </c>
      <c r="BD45" s="38">
        <f t="shared" si="9"/>
        <v>28571.428571428572</v>
      </c>
      <c r="BE45" s="46">
        <v>160</v>
      </c>
      <c r="BF45" s="59" t="s">
        <v>30</v>
      </c>
      <c r="BG45" s="57" t="s">
        <v>29</v>
      </c>
      <c r="BH45" s="45">
        <f>P45/100*31*17.99</f>
        <v>1565144.9388959999</v>
      </c>
      <c r="BI45" s="45">
        <f>P45/100*31*35.98</f>
        <v>3130289.8777919998</v>
      </c>
      <c r="BJ45" s="45">
        <v>2749607.7075</v>
      </c>
      <c r="BK45" s="86">
        <f t="shared" si="7"/>
        <v>7445042.5241879988</v>
      </c>
      <c r="BL45" s="46">
        <f>BE45*(1-0.25)*(1-0.25)*(1-0.375)*1.2</f>
        <v>67.5</v>
      </c>
      <c r="BM45" s="90">
        <f t="shared" si="8"/>
        <v>227.5</v>
      </c>
      <c r="BN45" s="61" t="s">
        <v>234</v>
      </c>
      <c r="BO45" s="61" t="s">
        <v>235</v>
      </c>
    </row>
    <row r="46" spans="1:67" s="54" customFormat="1" ht="30">
      <c r="A46" s="55" t="s">
        <v>461</v>
      </c>
      <c r="B46" s="56" t="s">
        <v>27</v>
      </c>
      <c r="C46" s="36" t="s">
        <v>373</v>
      </c>
      <c r="D46" s="37" t="s">
        <v>375</v>
      </c>
      <c r="E46" s="57" t="s">
        <v>28</v>
      </c>
      <c r="F46" s="57" t="s">
        <v>29</v>
      </c>
      <c r="G46" s="57" t="s">
        <v>28</v>
      </c>
      <c r="H46" s="57" t="s">
        <v>28</v>
      </c>
      <c r="I46" s="57" t="s">
        <v>28</v>
      </c>
      <c r="J46" s="57" t="s">
        <v>28</v>
      </c>
      <c r="K46" s="58">
        <v>750</v>
      </c>
      <c r="L46" s="58">
        <v>10313</v>
      </c>
      <c r="M46" s="57" t="s">
        <v>30</v>
      </c>
      <c r="N46" s="58">
        <v>10200</v>
      </c>
      <c r="O46" s="59" t="s">
        <v>31</v>
      </c>
      <c r="P46" s="58">
        <f>L46/100*72</f>
        <v>7425.36</v>
      </c>
      <c r="Q46" s="58">
        <v>113</v>
      </c>
      <c r="R46" s="57" t="s">
        <v>31</v>
      </c>
      <c r="S46" s="56" t="s">
        <v>77</v>
      </c>
      <c r="T46" s="57" t="s">
        <v>29</v>
      </c>
      <c r="U46" s="58">
        <v>65806</v>
      </c>
      <c r="V46" s="57" t="s">
        <v>29</v>
      </c>
      <c r="W46" s="58">
        <v>1900</v>
      </c>
      <c r="X46" s="58">
        <v>13</v>
      </c>
      <c r="Y46" s="58">
        <v>198</v>
      </c>
      <c r="Z46" s="59" t="s">
        <v>30</v>
      </c>
      <c r="AA46" s="58">
        <v>4</v>
      </c>
      <c r="AB46" s="58">
        <v>100</v>
      </c>
      <c r="AC46" s="58">
        <v>17</v>
      </c>
      <c r="AD46" s="59" t="s">
        <v>30</v>
      </c>
      <c r="AE46" s="58">
        <v>10</v>
      </c>
      <c r="AF46" s="58">
        <v>190</v>
      </c>
      <c r="AG46" s="59" t="s">
        <v>31</v>
      </c>
      <c r="AH46" s="58">
        <v>0</v>
      </c>
      <c r="AI46" s="58">
        <v>0</v>
      </c>
      <c r="AJ46" s="59" t="s">
        <v>31</v>
      </c>
      <c r="AK46" s="56" t="s">
        <v>28</v>
      </c>
      <c r="AL46" s="60"/>
      <c r="AM46" s="60"/>
      <c r="AN46" s="57" t="s">
        <v>29</v>
      </c>
      <c r="AO46" s="57" t="s">
        <v>28</v>
      </c>
      <c r="AP46" s="57" t="s">
        <v>28</v>
      </c>
      <c r="AQ46" s="56" t="s">
        <v>28</v>
      </c>
      <c r="AR46" s="56" t="s">
        <v>29</v>
      </c>
      <c r="AS46" s="56" t="s">
        <v>29</v>
      </c>
      <c r="AT46" s="56" t="s">
        <v>29</v>
      </c>
      <c r="AU46" s="56" t="s">
        <v>28</v>
      </c>
      <c r="AV46" s="56" t="s">
        <v>29</v>
      </c>
      <c r="AW46" s="56" t="s">
        <v>29</v>
      </c>
      <c r="AX46" s="56" t="s">
        <v>28</v>
      </c>
      <c r="AY46" s="56" t="s">
        <v>162</v>
      </c>
      <c r="AZ46" s="58">
        <v>96</v>
      </c>
      <c r="BA46" s="59" t="s">
        <v>31</v>
      </c>
      <c r="BB46" s="81">
        <v>11550</v>
      </c>
      <c r="BC46" s="59" t="s">
        <v>31</v>
      </c>
      <c r="BD46" s="38">
        <f t="shared" si="9"/>
        <v>82500</v>
      </c>
      <c r="BE46" s="46">
        <v>0</v>
      </c>
      <c r="BF46" s="59" t="s">
        <v>30</v>
      </c>
      <c r="BG46" s="57" t="s">
        <v>28</v>
      </c>
      <c r="BH46" s="45">
        <f>P46/100*44*12.91</f>
        <v>42179.014943999995</v>
      </c>
      <c r="BI46" s="45">
        <f>P46/100*44*25.82</f>
        <v>84358.02988799999</v>
      </c>
      <c r="BJ46" s="45">
        <v>149006.89124999999</v>
      </c>
      <c r="BK46" s="86">
        <f t="shared" si="7"/>
        <v>275543.93608199997</v>
      </c>
      <c r="BL46" s="46">
        <f>BE46*(1-0.25)*(1-0.21)*(1-0.25)*1.2</f>
        <v>0</v>
      </c>
      <c r="BM46" s="90">
        <f t="shared" si="8"/>
        <v>0</v>
      </c>
      <c r="BN46" s="61" t="s">
        <v>163</v>
      </c>
      <c r="BO46" s="61" t="s">
        <v>164</v>
      </c>
    </row>
    <row r="47" spans="1:67" s="54" customFormat="1" ht="90">
      <c r="A47" s="55" t="s">
        <v>62</v>
      </c>
      <c r="B47" s="56" t="s">
        <v>27</v>
      </c>
      <c r="C47" s="62" t="s">
        <v>371</v>
      </c>
      <c r="D47" s="37" t="s">
        <v>375</v>
      </c>
      <c r="E47" s="57" t="s">
        <v>28</v>
      </c>
      <c r="F47" s="57" t="s">
        <v>29</v>
      </c>
      <c r="G47" s="57" t="s">
        <v>28</v>
      </c>
      <c r="H47" s="57" t="s">
        <v>28</v>
      </c>
      <c r="I47" s="57" t="s">
        <v>28</v>
      </c>
      <c r="J47" s="57" t="s">
        <v>28</v>
      </c>
      <c r="K47" s="58">
        <v>2478</v>
      </c>
      <c r="L47" s="58">
        <v>25799</v>
      </c>
      <c r="M47" s="57" t="s">
        <v>30</v>
      </c>
      <c r="N47" s="58">
        <v>23763</v>
      </c>
      <c r="O47" s="59" t="s">
        <v>30</v>
      </c>
      <c r="P47" s="58">
        <f>L47/100*72</f>
        <v>18575.28</v>
      </c>
      <c r="Q47" s="58">
        <v>1557</v>
      </c>
      <c r="R47" s="57" t="s">
        <v>30</v>
      </c>
      <c r="S47" s="56" t="s">
        <v>50</v>
      </c>
      <c r="T47" s="57" t="s">
        <v>29</v>
      </c>
      <c r="U47" s="58">
        <v>26306</v>
      </c>
      <c r="V47" s="57" t="s">
        <v>29</v>
      </c>
      <c r="W47" s="58">
        <v>300</v>
      </c>
      <c r="X47" s="58">
        <v>28</v>
      </c>
      <c r="Y47" s="58">
        <v>931</v>
      </c>
      <c r="Z47" s="59" t="s">
        <v>30</v>
      </c>
      <c r="AA47" s="58">
        <v>6</v>
      </c>
      <c r="AB47" s="58">
        <v>558</v>
      </c>
      <c r="AC47" s="58">
        <v>34</v>
      </c>
      <c r="AD47" s="59" t="s">
        <v>30</v>
      </c>
      <c r="AE47" s="58">
        <v>138</v>
      </c>
      <c r="AF47" s="58">
        <v>3062</v>
      </c>
      <c r="AG47" s="59" t="s">
        <v>31</v>
      </c>
      <c r="AH47" s="58">
        <v>34</v>
      </c>
      <c r="AI47" s="58">
        <v>1027</v>
      </c>
      <c r="AJ47" s="59" t="s">
        <v>31</v>
      </c>
      <c r="AK47" s="56" t="s">
        <v>29</v>
      </c>
      <c r="AL47" s="60">
        <v>7</v>
      </c>
      <c r="AM47" s="60">
        <v>2</v>
      </c>
      <c r="AN47" s="57" t="s">
        <v>29</v>
      </c>
      <c r="AO47" s="57" t="s">
        <v>28</v>
      </c>
      <c r="AP47" s="57" t="s">
        <v>28</v>
      </c>
      <c r="AQ47" s="56" t="s">
        <v>29</v>
      </c>
      <c r="AR47" s="56" t="s">
        <v>29</v>
      </c>
      <c r="AS47" s="56" t="s">
        <v>29</v>
      </c>
      <c r="AT47" s="56" t="s">
        <v>29</v>
      </c>
      <c r="AU47" s="56" t="s">
        <v>29</v>
      </c>
      <c r="AV47" s="56" t="s">
        <v>28</v>
      </c>
      <c r="AW47" s="56" t="s">
        <v>29</v>
      </c>
      <c r="AX47" s="56" t="s">
        <v>28</v>
      </c>
      <c r="AY47" s="56" t="s">
        <v>28</v>
      </c>
      <c r="AZ47" s="58">
        <v>220</v>
      </c>
      <c r="BA47" s="59" t="s">
        <v>30</v>
      </c>
      <c r="BB47" s="81">
        <v>11875</v>
      </c>
      <c r="BC47" s="59" t="s">
        <v>31</v>
      </c>
      <c r="BD47" s="38">
        <f t="shared" si="9"/>
        <v>84821.428571428565</v>
      </c>
      <c r="BE47" s="46">
        <v>9.1999999999999993</v>
      </c>
      <c r="BF47" s="59" t="s">
        <v>30</v>
      </c>
      <c r="BG47" s="57" t="s">
        <v>29</v>
      </c>
      <c r="BH47" s="45">
        <f>P47/100*44*12.86</f>
        <v>105106.36435199999</v>
      </c>
      <c r="BI47" s="45">
        <f>P47/100*44*25.73</f>
        <v>210294.45993599997</v>
      </c>
      <c r="BJ47" s="45">
        <v>135373.57749999998</v>
      </c>
      <c r="BK47" s="86">
        <f t="shared" si="7"/>
        <v>450774.4017879999</v>
      </c>
      <c r="BL47" s="46">
        <f>BE47*(1-0.25)*(1-0.21)*(1-0.25)*1.2</f>
        <v>4.905899999999999</v>
      </c>
      <c r="BM47" s="90">
        <f t="shared" si="8"/>
        <v>14.105899999999998</v>
      </c>
      <c r="BN47" s="61" t="s">
        <v>63</v>
      </c>
      <c r="BO47" s="61" t="s">
        <v>64</v>
      </c>
    </row>
    <row r="48" spans="1:67" s="54" customFormat="1" ht="30">
      <c r="A48" s="55" t="s">
        <v>230</v>
      </c>
      <c r="B48" s="56" t="s">
        <v>27</v>
      </c>
      <c r="C48" s="36" t="s">
        <v>372</v>
      </c>
      <c r="D48" s="37" t="s">
        <v>377</v>
      </c>
      <c r="E48" s="57" t="s">
        <v>28</v>
      </c>
      <c r="F48" s="57" t="s">
        <v>28</v>
      </c>
      <c r="G48" s="57" t="s">
        <v>28</v>
      </c>
      <c r="H48" s="57" t="s">
        <v>28</v>
      </c>
      <c r="I48" s="57" t="s">
        <v>29</v>
      </c>
      <c r="J48" s="57" t="s">
        <v>28</v>
      </c>
      <c r="K48" s="58">
        <v>500</v>
      </c>
      <c r="L48" s="58">
        <v>1500</v>
      </c>
      <c r="M48" s="57" t="s">
        <v>31</v>
      </c>
      <c r="N48" s="58">
        <v>1200</v>
      </c>
      <c r="O48" s="59" t="s">
        <v>31</v>
      </c>
      <c r="P48" s="58">
        <f>L48/100*75</f>
        <v>1125</v>
      </c>
      <c r="Q48" s="58">
        <v>200</v>
      </c>
      <c r="R48" s="57" t="s">
        <v>31</v>
      </c>
      <c r="S48" s="56" t="s">
        <v>106</v>
      </c>
      <c r="T48" s="57" t="s">
        <v>29</v>
      </c>
      <c r="U48" s="58">
        <v>3743</v>
      </c>
      <c r="V48" s="57" t="s">
        <v>29</v>
      </c>
      <c r="W48" s="58">
        <v>1940</v>
      </c>
      <c r="X48" s="58">
        <v>0</v>
      </c>
      <c r="Y48" s="58">
        <v>0</v>
      </c>
      <c r="Z48" s="59"/>
      <c r="AA48" s="58">
        <v>8</v>
      </c>
      <c r="AB48" s="58">
        <v>300</v>
      </c>
      <c r="AC48" s="58">
        <v>6</v>
      </c>
      <c r="AD48" s="59" t="s">
        <v>31</v>
      </c>
      <c r="AE48" s="58">
        <v>40</v>
      </c>
      <c r="AF48" s="58">
        <v>60</v>
      </c>
      <c r="AG48" s="59" t="s">
        <v>31</v>
      </c>
      <c r="AH48" s="58">
        <v>6</v>
      </c>
      <c r="AI48" s="58">
        <v>100</v>
      </c>
      <c r="AJ48" s="59" t="s">
        <v>31</v>
      </c>
      <c r="AK48" s="56" t="s">
        <v>28</v>
      </c>
      <c r="AL48" s="60"/>
      <c r="AM48" s="60"/>
      <c r="AN48" s="57" t="s">
        <v>29</v>
      </c>
      <c r="AO48" s="57" t="s">
        <v>28</v>
      </c>
      <c r="AP48" s="57" t="s">
        <v>28</v>
      </c>
      <c r="AQ48" s="56" t="s">
        <v>28</v>
      </c>
      <c r="AR48" s="56" t="s">
        <v>28</v>
      </c>
      <c r="AS48" s="56" t="s">
        <v>28</v>
      </c>
      <c r="AT48" s="56" t="s">
        <v>28</v>
      </c>
      <c r="AU48" s="56" t="s">
        <v>28</v>
      </c>
      <c r="AV48" s="56" t="s">
        <v>28</v>
      </c>
      <c r="AW48" s="56" t="s">
        <v>28</v>
      </c>
      <c r="AX48" s="56" t="s">
        <v>28</v>
      </c>
      <c r="AY48" s="56" t="s">
        <v>28</v>
      </c>
      <c r="AZ48" s="58">
        <v>19</v>
      </c>
      <c r="BA48" s="59" t="s">
        <v>30</v>
      </c>
      <c r="BB48" s="81">
        <v>1485</v>
      </c>
      <c r="BC48" s="59" t="s">
        <v>30</v>
      </c>
      <c r="BD48" s="38">
        <f t="shared" si="9"/>
        <v>10607.142857142857</v>
      </c>
      <c r="BE48" s="46">
        <v>3.8</v>
      </c>
      <c r="BF48" s="59" t="s">
        <v>30</v>
      </c>
      <c r="BG48" s="57" t="s">
        <v>73</v>
      </c>
      <c r="BH48" s="45">
        <f>P48/100*47*11.29</f>
        <v>5969.5874999999996</v>
      </c>
      <c r="BI48" s="45">
        <f>P48/100*47*22.59</f>
        <v>11944.4625</v>
      </c>
      <c r="BJ48" s="45">
        <v>140906.6925</v>
      </c>
      <c r="BK48" s="86">
        <f t="shared" si="7"/>
        <v>158820.74249999999</v>
      </c>
      <c r="BL48" s="46">
        <f>BE48*(1-0.25)*(1-0.21)*(1-0.25)*1.2</f>
        <v>2.0263499999999994</v>
      </c>
      <c r="BM48" s="90">
        <f t="shared" si="8"/>
        <v>5.8263499999999997</v>
      </c>
      <c r="BN48" s="61" t="s">
        <v>231</v>
      </c>
      <c r="BO48" s="61" t="s">
        <v>32</v>
      </c>
    </row>
    <row r="49" spans="1:67" s="54" customFormat="1" ht="45">
      <c r="A49" s="55" t="s">
        <v>395</v>
      </c>
      <c r="B49" s="56" t="s">
        <v>42</v>
      </c>
      <c r="C49" s="36" t="s">
        <v>369</v>
      </c>
      <c r="D49" s="37" t="s">
        <v>378</v>
      </c>
      <c r="E49" s="57" t="s">
        <v>28</v>
      </c>
      <c r="F49" s="57" t="s">
        <v>29</v>
      </c>
      <c r="G49" s="57" t="s">
        <v>28</v>
      </c>
      <c r="H49" s="57" t="s">
        <v>28</v>
      </c>
      <c r="I49" s="57" t="s">
        <v>28</v>
      </c>
      <c r="J49" s="57" t="s">
        <v>28</v>
      </c>
      <c r="K49" s="58">
        <v>1682</v>
      </c>
      <c r="L49" s="58">
        <v>66021</v>
      </c>
      <c r="M49" s="57" t="s">
        <v>30</v>
      </c>
      <c r="N49" s="58">
        <v>40504</v>
      </c>
      <c r="O49" s="59" t="s">
        <v>31</v>
      </c>
      <c r="P49" s="58">
        <f>L49/100*61</f>
        <v>40272.810000000005</v>
      </c>
      <c r="Q49" s="58">
        <v>25517</v>
      </c>
      <c r="R49" s="57" t="s">
        <v>31</v>
      </c>
      <c r="S49" s="56" t="s">
        <v>347</v>
      </c>
      <c r="T49" s="57" t="s">
        <v>29</v>
      </c>
      <c r="U49" s="58">
        <v>32344</v>
      </c>
      <c r="V49" s="57" t="s">
        <v>29</v>
      </c>
      <c r="W49" s="58">
        <v>9794</v>
      </c>
      <c r="X49" s="58">
        <v>291</v>
      </c>
      <c r="Y49" s="58">
        <v>6992</v>
      </c>
      <c r="Z49" s="59" t="s">
        <v>31</v>
      </c>
      <c r="AA49" s="58">
        <v>0</v>
      </c>
      <c r="AB49" s="58">
        <v>0</v>
      </c>
      <c r="AC49" s="58"/>
      <c r="AD49" s="59" t="s">
        <v>30</v>
      </c>
      <c r="AE49" s="58">
        <v>323</v>
      </c>
      <c r="AF49" s="58">
        <v>11123</v>
      </c>
      <c r="AG49" s="59" t="s">
        <v>31</v>
      </c>
      <c r="AH49" s="58">
        <v>2</v>
      </c>
      <c r="AI49" s="58">
        <v>502</v>
      </c>
      <c r="AJ49" s="59" t="s">
        <v>31</v>
      </c>
      <c r="AK49" s="56" t="s">
        <v>29</v>
      </c>
      <c r="AL49" s="60">
        <v>11.95</v>
      </c>
      <c r="AM49" s="60">
        <v>9.5500000000000007</v>
      </c>
      <c r="AN49" s="57" t="s">
        <v>29</v>
      </c>
      <c r="AO49" s="57" t="s">
        <v>29</v>
      </c>
      <c r="AP49" s="57"/>
      <c r="AQ49" s="56" t="s">
        <v>28</v>
      </c>
      <c r="AR49" s="56" t="s">
        <v>29</v>
      </c>
      <c r="AS49" s="56" t="s">
        <v>28</v>
      </c>
      <c r="AT49" s="56" t="s">
        <v>29</v>
      </c>
      <c r="AU49" s="56" t="s">
        <v>28</v>
      </c>
      <c r="AV49" s="56" t="s">
        <v>28</v>
      </c>
      <c r="AW49" s="56" t="s">
        <v>28</v>
      </c>
      <c r="AX49" s="56" t="s">
        <v>349</v>
      </c>
      <c r="AY49" s="56" t="s">
        <v>28</v>
      </c>
      <c r="AZ49" s="58">
        <v>117</v>
      </c>
      <c r="BA49" s="59" t="s">
        <v>30</v>
      </c>
      <c r="BB49" s="81">
        <v>9875</v>
      </c>
      <c r="BC49" s="59" t="s">
        <v>30</v>
      </c>
      <c r="BD49" s="38">
        <f t="shared" si="9"/>
        <v>70535.71428571429</v>
      </c>
      <c r="BE49" s="46">
        <v>15.9</v>
      </c>
      <c r="BF49" s="59" t="s">
        <v>30</v>
      </c>
      <c r="BG49" s="57" t="s">
        <v>29</v>
      </c>
      <c r="BH49" s="45">
        <f>P49/100*31*14.08</f>
        <v>175782.76108800003</v>
      </c>
      <c r="BI49" s="45">
        <f>P49/100*31*28.16</f>
        <v>351565.52217600006</v>
      </c>
      <c r="BJ49" s="45">
        <v>367802.52</v>
      </c>
      <c r="BK49" s="86">
        <f t="shared" si="7"/>
        <v>895150.8032640001</v>
      </c>
      <c r="BL49" s="46">
        <f>BE49*(1-0.25)*(1-0.25)*(1-0.375)*1.2</f>
        <v>6.7078125000000011</v>
      </c>
      <c r="BM49" s="90">
        <f t="shared" si="8"/>
        <v>22.607812500000001</v>
      </c>
      <c r="BN49" s="61" t="s">
        <v>32</v>
      </c>
      <c r="BO49" s="61" t="s">
        <v>32</v>
      </c>
    </row>
    <row r="50" spans="1:67" s="54" customFormat="1" ht="45">
      <c r="A50" s="55" t="s">
        <v>286</v>
      </c>
      <c r="B50" s="56" t="s">
        <v>27</v>
      </c>
      <c r="C50" s="62" t="s">
        <v>371</v>
      </c>
      <c r="D50" s="37" t="s">
        <v>377</v>
      </c>
      <c r="E50" s="57" t="s">
        <v>28</v>
      </c>
      <c r="F50" s="57" t="s">
        <v>28</v>
      </c>
      <c r="G50" s="57" t="s">
        <v>29</v>
      </c>
      <c r="H50" s="57" t="s">
        <v>28</v>
      </c>
      <c r="I50" s="57" t="s">
        <v>28</v>
      </c>
      <c r="J50" s="57" t="s">
        <v>28</v>
      </c>
      <c r="K50" s="58">
        <v>480</v>
      </c>
      <c r="L50" s="58">
        <v>1190</v>
      </c>
      <c r="M50" s="57" t="s">
        <v>30</v>
      </c>
      <c r="N50" s="58"/>
      <c r="O50" s="59" t="s">
        <v>31</v>
      </c>
      <c r="P50" s="58">
        <f>L50/100*75</f>
        <v>892.5</v>
      </c>
      <c r="Q50" s="58"/>
      <c r="R50" s="57" t="s">
        <v>31</v>
      </c>
      <c r="S50" s="56" t="s">
        <v>287</v>
      </c>
      <c r="T50" s="57" t="s">
        <v>29</v>
      </c>
      <c r="U50" s="58">
        <v>14832</v>
      </c>
      <c r="V50" s="57" t="s">
        <v>29</v>
      </c>
      <c r="W50" s="58">
        <v>184</v>
      </c>
      <c r="X50" s="58">
        <v>0</v>
      </c>
      <c r="Y50" s="58">
        <v>0</v>
      </c>
      <c r="Z50" s="59" t="s">
        <v>30</v>
      </c>
      <c r="AA50" s="58">
        <v>3</v>
      </c>
      <c r="AB50" s="58"/>
      <c r="AC50" s="58">
        <v>0</v>
      </c>
      <c r="AD50" s="59" t="s">
        <v>30</v>
      </c>
      <c r="AE50" s="58">
        <v>1</v>
      </c>
      <c r="AF50" s="58">
        <v>24</v>
      </c>
      <c r="AG50" s="59" t="s">
        <v>30</v>
      </c>
      <c r="AH50" s="58">
        <v>9</v>
      </c>
      <c r="AI50" s="58">
        <v>323</v>
      </c>
      <c r="AJ50" s="59" t="s">
        <v>30</v>
      </c>
      <c r="AK50" s="56" t="s">
        <v>28</v>
      </c>
      <c r="AL50" s="60"/>
      <c r="AM50" s="60"/>
      <c r="AN50" s="57" t="s">
        <v>29</v>
      </c>
      <c r="AO50" s="57" t="s">
        <v>28</v>
      </c>
      <c r="AP50" s="57" t="s">
        <v>28</v>
      </c>
      <c r="AQ50" s="56" t="s">
        <v>28</v>
      </c>
      <c r="AR50" s="56" t="s">
        <v>28</v>
      </c>
      <c r="AS50" s="56" t="s">
        <v>28</v>
      </c>
      <c r="AT50" s="56" t="s">
        <v>29</v>
      </c>
      <c r="AU50" s="56" t="s">
        <v>28</v>
      </c>
      <c r="AV50" s="56" t="s">
        <v>28</v>
      </c>
      <c r="AW50" s="56" t="s">
        <v>29</v>
      </c>
      <c r="AX50" s="56" t="s">
        <v>28</v>
      </c>
      <c r="AY50" s="56" t="s">
        <v>28</v>
      </c>
      <c r="AZ50" s="58">
        <v>24</v>
      </c>
      <c r="BA50" s="59" t="s">
        <v>30</v>
      </c>
      <c r="BB50" s="81">
        <v>3000</v>
      </c>
      <c r="BC50" s="59" t="s">
        <v>31</v>
      </c>
      <c r="BD50" s="38"/>
      <c r="BE50" s="46">
        <v>0</v>
      </c>
      <c r="BF50" s="59" t="s">
        <v>30</v>
      </c>
      <c r="BG50" s="57" t="s">
        <v>29</v>
      </c>
      <c r="BH50" s="45">
        <f>P50/100*47*12.86</f>
        <v>5394.4485000000004</v>
      </c>
      <c r="BI50" s="45">
        <f>P50/100*47*23.73</f>
        <v>9954.1417500000007</v>
      </c>
      <c r="BJ50" s="45">
        <v>36578.009999999995</v>
      </c>
      <c r="BK50" s="86">
        <f t="shared" si="7"/>
        <v>51926.600249999996</v>
      </c>
      <c r="BL50" s="46">
        <f t="shared" ref="BL50:BL55" si="10">BE50*(1-0.25)*(1-0.21)*(1-0.25)*1.2</f>
        <v>0</v>
      </c>
      <c r="BM50" s="90">
        <f t="shared" si="8"/>
        <v>0</v>
      </c>
      <c r="BN50" s="61" t="s">
        <v>288</v>
      </c>
      <c r="BO50" s="61" t="s">
        <v>289</v>
      </c>
    </row>
    <row r="51" spans="1:67" s="54" customFormat="1" ht="75">
      <c r="A51" s="55" t="s">
        <v>334</v>
      </c>
      <c r="B51" s="56" t="s">
        <v>27</v>
      </c>
      <c r="C51" s="36" t="s">
        <v>373</v>
      </c>
      <c r="D51" s="37" t="s">
        <v>377</v>
      </c>
      <c r="E51" s="57" t="s">
        <v>28</v>
      </c>
      <c r="F51" s="57" t="s">
        <v>29</v>
      </c>
      <c r="G51" s="57" t="s">
        <v>28</v>
      </c>
      <c r="H51" s="57" t="s">
        <v>28</v>
      </c>
      <c r="I51" s="57" t="s">
        <v>28</v>
      </c>
      <c r="J51" s="57" t="s">
        <v>28</v>
      </c>
      <c r="K51" s="58">
        <v>420</v>
      </c>
      <c r="L51" s="58">
        <v>675</v>
      </c>
      <c r="M51" s="57" t="s">
        <v>31</v>
      </c>
      <c r="N51" s="58">
        <v>450</v>
      </c>
      <c r="O51" s="59" t="s">
        <v>31</v>
      </c>
      <c r="P51" s="58">
        <f>L51/100*75</f>
        <v>506.25</v>
      </c>
      <c r="Q51" s="58">
        <v>225</v>
      </c>
      <c r="R51" s="57" t="s">
        <v>31</v>
      </c>
      <c r="S51" s="56" t="s">
        <v>28</v>
      </c>
      <c r="T51" s="57" t="s">
        <v>29</v>
      </c>
      <c r="U51" s="58">
        <v>5665</v>
      </c>
      <c r="V51" s="57" t="s">
        <v>28</v>
      </c>
      <c r="W51" s="58"/>
      <c r="X51" s="58">
        <v>6</v>
      </c>
      <c r="Y51" s="58">
        <v>72</v>
      </c>
      <c r="Z51" s="59" t="s">
        <v>31</v>
      </c>
      <c r="AA51" s="58">
        <v>4</v>
      </c>
      <c r="AB51" s="58">
        <v>40</v>
      </c>
      <c r="AC51" s="58">
        <v>3</v>
      </c>
      <c r="AD51" s="59" t="s">
        <v>31</v>
      </c>
      <c r="AE51" s="58">
        <v>3</v>
      </c>
      <c r="AF51" s="58">
        <v>20</v>
      </c>
      <c r="AG51" s="59" t="s">
        <v>31</v>
      </c>
      <c r="AH51" s="58">
        <v>0</v>
      </c>
      <c r="AI51" s="58">
        <v>0</v>
      </c>
      <c r="AJ51" s="59" t="s">
        <v>30</v>
      </c>
      <c r="AK51" s="56" t="s">
        <v>28</v>
      </c>
      <c r="AL51" s="60"/>
      <c r="AM51" s="60"/>
      <c r="AN51" s="57" t="s">
        <v>29</v>
      </c>
      <c r="AO51" s="57" t="s">
        <v>28</v>
      </c>
      <c r="AP51" s="57" t="s">
        <v>28</v>
      </c>
      <c r="AQ51" s="56" t="s">
        <v>28</v>
      </c>
      <c r="AR51" s="56" t="s">
        <v>28</v>
      </c>
      <c r="AS51" s="56" t="s">
        <v>28</v>
      </c>
      <c r="AT51" s="56" t="s">
        <v>28</v>
      </c>
      <c r="AU51" s="56" t="s">
        <v>28</v>
      </c>
      <c r="AV51" s="56" t="s">
        <v>28</v>
      </c>
      <c r="AW51" s="56" t="s">
        <v>28</v>
      </c>
      <c r="AX51" s="56" t="s">
        <v>28</v>
      </c>
      <c r="AY51" s="56" t="s">
        <v>28</v>
      </c>
      <c r="AZ51" s="58">
        <v>10</v>
      </c>
      <c r="BA51" s="59" t="s">
        <v>30</v>
      </c>
      <c r="BB51" s="81">
        <v>4200</v>
      </c>
      <c r="BC51" s="59" t="s">
        <v>31</v>
      </c>
      <c r="BD51" s="38">
        <f t="shared" ref="BD51:BD70" si="11">BB51/7*50</f>
        <v>30000</v>
      </c>
      <c r="BE51" s="46">
        <v>0</v>
      </c>
      <c r="BF51" s="59" t="s">
        <v>30</v>
      </c>
      <c r="BG51" s="57" t="s">
        <v>29</v>
      </c>
      <c r="BH51" s="45">
        <f>P51/100*47*12.91</f>
        <v>3071.7731250000002</v>
      </c>
      <c r="BI51" s="45">
        <f>P51/100*47*25.82</f>
        <v>6143.5462500000003</v>
      </c>
      <c r="BJ51" s="45">
        <v>2259.7768375000001</v>
      </c>
      <c r="BK51" s="86">
        <f t="shared" si="7"/>
        <v>11475.096212500001</v>
      </c>
      <c r="BL51" s="46">
        <f t="shared" si="10"/>
        <v>0</v>
      </c>
      <c r="BM51" s="90">
        <f t="shared" si="8"/>
        <v>0</v>
      </c>
      <c r="BN51" s="61" t="s">
        <v>32</v>
      </c>
      <c r="BO51" s="61" t="s">
        <v>335</v>
      </c>
    </row>
    <row r="52" spans="1:67" s="54" customFormat="1" ht="30">
      <c r="A52" s="55" t="s">
        <v>57</v>
      </c>
      <c r="B52" s="56" t="s">
        <v>27</v>
      </c>
      <c r="C52" s="62" t="s">
        <v>371</v>
      </c>
      <c r="D52" s="37" t="s">
        <v>377</v>
      </c>
      <c r="E52" s="57" t="s">
        <v>29</v>
      </c>
      <c r="F52" s="57" t="s">
        <v>28</v>
      </c>
      <c r="G52" s="57" t="s">
        <v>28</v>
      </c>
      <c r="H52" s="57" t="s">
        <v>28</v>
      </c>
      <c r="I52" s="57" t="s">
        <v>28</v>
      </c>
      <c r="J52" s="57" t="s">
        <v>28</v>
      </c>
      <c r="K52" s="58">
        <v>459</v>
      </c>
      <c r="L52" s="58">
        <v>828</v>
      </c>
      <c r="M52" s="57" t="s">
        <v>31</v>
      </c>
      <c r="N52" s="58">
        <v>820</v>
      </c>
      <c r="O52" s="59" t="s">
        <v>31</v>
      </c>
      <c r="P52" s="58">
        <f>L52/100*75</f>
        <v>621</v>
      </c>
      <c r="Q52" s="58">
        <v>8</v>
      </c>
      <c r="R52" s="57" t="s">
        <v>31</v>
      </c>
      <c r="S52" s="56" t="s">
        <v>58</v>
      </c>
      <c r="T52" s="57" t="s">
        <v>28</v>
      </c>
      <c r="U52" s="58"/>
      <c r="V52" s="57" t="s">
        <v>28</v>
      </c>
      <c r="W52" s="58"/>
      <c r="X52" s="58">
        <v>0</v>
      </c>
      <c r="Y52" s="58">
        <v>0</v>
      </c>
      <c r="Z52" s="59" t="s">
        <v>30</v>
      </c>
      <c r="AA52" s="58">
        <v>3</v>
      </c>
      <c r="AB52" s="58">
        <v>28</v>
      </c>
      <c r="AC52" s="58">
        <v>3</v>
      </c>
      <c r="AD52" s="59" t="s">
        <v>30</v>
      </c>
      <c r="AE52" s="58">
        <v>2</v>
      </c>
      <c r="AF52" s="58">
        <v>180</v>
      </c>
      <c r="AG52" s="59" t="s">
        <v>31</v>
      </c>
      <c r="AH52" s="58">
        <v>2</v>
      </c>
      <c r="AI52" s="58">
        <v>23</v>
      </c>
      <c r="AJ52" s="59" t="s">
        <v>31</v>
      </c>
      <c r="AK52" s="56" t="s">
        <v>28</v>
      </c>
      <c r="AL52" s="60"/>
      <c r="AM52" s="60"/>
      <c r="AN52" s="57" t="s">
        <v>28</v>
      </c>
      <c r="AO52" s="57" t="s">
        <v>28</v>
      </c>
      <c r="AP52" s="57" t="s">
        <v>28</v>
      </c>
      <c r="AQ52" s="56" t="s">
        <v>28</v>
      </c>
      <c r="AR52" s="56" t="s">
        <v>28</v>
      </c>
      <c r="AS52" s="56" t="s">
        <v>28</v>
      </c>
      <c r="AT52" s="56" t="s">
        <v>28</v>
      </c>
      <c r="AU52" s="56" t="s">
        <v>28</v>
      </c>
      <c r="AV52" s="56" t="s">
        <v>28</v>
      </c>
      <c r="AW52" s="56" t="s">
        <v>29</v>
      </c>
      <c r="AX52" s="56" t="s">
        <v>28</v>
      </c>
      <c r="AY52" s="56" t="s">
        <v>28</v>
      </c>
      <c r="AZ52" s="58">
        <v>16</v>
      </c>
      <c r="BA52" s="59" t="s">
        <v>30</v>
      </c>
      <c r="BB52" s="81">
        <v>1966</v>
      </c>
      <c r="BC52" s="59" t="s">
        <v>30</v>
      </c>
      <c r="BD52" s="38">
        <f t="shared" si="11"/>
        <v>14042.857142857141</v>
      </c>
      <c r="BE52" s="46">
        <v>0</v>
      </c>
      <c r="BF52" s="59" t="s">
        <v>30</v>
      </c>
      <c r="BG52" s="57" t="s">
        <v>28</v>
      </c>
      <c r="BH52" s="45">
        <f>P52/100*47*12.86</f>
        <v>3753.4481999999998</v>
      </c>
      <c r="BI52" s="45">
        <f>P52/100*47*23.73</f>
        <v>6926.0751</v>
      </c>
      <c r="BJ52" s="45">
        <v>5770.2280124999997</v>
      </c>
      <c r="BK52" s="86">
        <f t="shared" si="7"/>
        <v>16449.7513125</v>
      </c>
      <c r="BL52" s="46">
        <f t="shared" si="10"/>
        <v>0</v>
      </c>
      <c r="BM52" s="90">
        <f t="shared" si="8"/>
        <v>0</v>
      </c>
      <c r="BN52" s="61" t="s">
        <v>59</v>
      </c>
      <c r="BO52" s="61" t="s">
        <v>32</v>
      </c>
    </row>
    <row r="53" spans="1:67" s="54" customFormat="1" ht="30">
      <c r="A53" s="55" t="s">
        <v>396</v>
      </c>
      <c r="B53" s="56" t="s">
        <v>27</v>
      </c>
      <c r="C53" s="36" t="s">
        <v>370</v>
      </c>
      <c r="D53" s="37" t="s">
        <v>375</v>
      </c>
      <c r="E53" s="57" t="s">
        <v>29</v>
      </c>
      <c r="F53" s="57" t="s">
        <v>28</v>
      </c>
      <c r="G53" s="57" t="s">
        <v>28</v>
      </c>
      <c r="H53" s="57" t="s">
        <v>28</v>
      </c>
      <c r="I53" s="57" t="s">
        <v>28</v>
      </c>
      <c r="J53" s="57" t="s">
        <v>28</v>
      </c>
      <c r="K53" s="58">
        <v>255</v>
      </c>
      <c r="L53" s="58">
        <v>16851</v>
      </c>
      <c r="M53" s="57" t="s">
        <v>30</v>
      </c>
      <c r="N53" s="58">
        <v>13264</v>
      </c>
      <c r="O53" s="59" t="s">
        <v>30</v>
      </c>
      <c r="P53" s="58">
        <f>L53/100*72</f>
        <v>12132.72</v>
      </c>
      <c r="Q53" s="58">
        <v>3587</v>
      </c>
      <c r="R53" s="57" t="s">
        <v>30</v>
      </c>
      <c r="S53" s="56" t="s">
        <v>275</v>
      </c>
      <c r="T53" s="57" t="s">
        <v>29</v>
      </c>
      <c r="U53" s="58"/>
      <c r="V53" s="57" t="s">
        <v>29</v>
      </c>
      <c r="W53" s="58">
        <v>2400</v>
      </c>
      <c r="X53" s="58">
        <v>0</v>
      </c>
      <c r="Y53" s="58">
        <v>0</v>
      </c>
      <c r="Z53" s="59" t="s">
        <v>30</v>
      </c>
      <c r="AA53" s="58">
        <v>29</v>
      </c>
      <c r="AB53" s="58">
        <v>733</v>
      </c>
      <c r="AC53" s="58">
        <v>5</v>
      </c>
      <c r="AD53" s="59" t="s">
        <v>30</v>
      </c>
      <c r="AE53" s="58">
        <v>73</v>
      </c>
      <c r="AF53" s="58">
        <v>4097</v>
      </c>
      <c r="AG53" s="59" t="s">
        <v>30</v>
      </c>
      <c r="AH53" s="58">
        <v>200</v>
      </c>
      <c r="AI53" s="58">
        <v>5261</v>
      </c>
      <c r="AJ53" s="59" t="s">
        <v>30</v>
      </c>
      <c r="AK53" s="56" t="s">
        <v>28</v>
      </c>
      <c r="AL53" s="60"/>
      <c r="AM53" s="60"/>
      <c r="AN53" s="57" t="s">
        <v>29</v>
      </c>
      <c r="AO53" s="57" t="s">
        <v>28</v>
      </c>
      <c r="AP53" s="57" t="s">
        <v>28</v>
      </c>
      <c r="AQ53" s="56" t="s">
        <v>28</v>
      </c>
      <c r="AR53" s="56" t="s">
        <v>29</v>
      </c>
      <c r="AS53" s="56" t="s">
        <v>29</v>
      </c>
      <c r="AT53" s="56" t="s">
        <v>28</v>
      </c>
      <c r="AU53" s="56" t="s">
        <v>28</v>
      </c>
      <c r="AV53" s="56" t="s">
        <v>28</v>
      </c>
      <c r="AW53" s="56" t="s">
        <v>28</v>
      </c>
      <c r="AX53" s="56" t="s">
        <v>28</v>
      </c>
      <c r="AY53" s="56" t="s">
        <v>28</v>
      </c>
      <c r="AZ53" s="58">
        <v>54</v>
      </c>
      <c r="BA53" s="59" t="s">
        <v>30</v>
      </c>
      <c r="BB53" s="81">
        <v>4474</v>
      </c>
      <c r="BC53" s="59" t="s">
        <v>30</v>
      </c>
      <c r="BD53" s="38">
        <f t="shared" si="11"/>
        <v>31957.142857142855</v>
      </c>
      <c r="BE53" s="46">
        <v>4</v>
      </c>
      <c r="BF53" s="59" t="s">
        <v>30</v>
      </c>
      <c r="BG53" s="57" t="s">
        <v>28</v>
      </c>
      <c r="BH53" s="45">
        <f>P53/100*44*17.99</f>
        <v>96037.758431999988</v>
      </c>
      <c r="BI53" s="45">
        <f>P53/100*44*35.98</f>
        <v>192075.51686399998</v>
      </c>
      <c r="BJ53" s="45">
        <v>954222.63002499996</v>
      </c>
      <c r="BK53" s="86">
        <f t="shared" si="7"/>
        <v>1242335.9053209999</v>
      </c>
      <c r="BL53" s="46">
        <f t="shared" si="10"/>
        <v>2.133</v>
      </c>
      <c r="BM53" s="90">
        <f t="shared" si="8"/>
        <v>6.133</v>
      </c>
      <c r="BN53" s="61" t="s">
        <v>276</v>
      </c>
      <c r="BO53" s="61" t="s">
        <v>277</v>
      </c>
    </row>
    <row r="54" spans="1:67" s="54" customFormat="1" ht="45">
      <c r="A54" s="55" t="s">
        <v>239</v>
      </c>
      <c r="B54" s="56" t="s">
        <v>27</v>
      </c>
      <c r="C54" s="36" t="s">
        <v>372</v>
      </c>
      <c r="D54" s="37" t="s">
        <v>375</v>
      </c>
      <c r="E54" s="57" t="s">
        <v>29</v>
      </c>
      <c r="F54" s="57" t="s">
        <v>28</v>
      </c>
      <c r="G54" s="57" t="s">
        <v>28</v>
      </c>
      <c r="H54" s="57" t="s">
        <v>28</v>
      </c>
      <c r="I54" s="57" t="s">
        <v>28</v>
      </c>
      <c r="J54" s="57" t="s">
        <v>28</v>
      </c>
      <c r="K54" s="58">
        <v>1785</v>
      </c>
      <c r="L54" s="58">
        <v>27268</v>
      </c>
      <c r="M54" s="57" t="s">
        <v>30</v>
      </c>
      <c r="N54" s="58">
        <v>16269</v>
      </c>
      <c r="O54" s="59" t="s">
        <v>30</v>
      </c>
      <c r="P54" s="58">
        <f>L54/100*72</f>
        <v>19632.96</v>
      </c>
      <c r="Q54" s="58">
        <v>10999</v>
      </c>
      <c r="R54" s="57" t="s">
        <v>30</v>
      </c>
      <c r="S54" s="56" t="s">
        <v>240</v>
      </c>
      <c r="T54" s="57" t="s">
        <v>29</v>
      </c>
      <c r="U54" s="58">
        <v>23508</v>
      </c>
      <c r="V54" s="57" t="s">
        <v>29</v>
      </c>
      <c r="W54" s="58">
        <v>4456</v>
      </c>
      <c r="X54" s="58">
        <v>77</v>
      </c>
      <c r="Y54" s="58">
        <v>3011</v>
      </c>
      <c r="Z54" s="59" t="s">
        <v>30</v>
      </c>
      <c r="AA54" s="58">
        <v>29</v>
      </c>
      <c r="AB54" s="58">
        <v>1494</v>
      </c>
      <c r="AC54" s="58">
        <v>73</v>
      </c>
      <c r="AD54" s="59" t="s">
        <v>30</v>
      </c>
      <c r="AE54" s="58"/>
      <c r="AF54" s="58"/>
      <c r="AG54" s="59" t="s">
        <v>30</v>
      </c>
      <c r="AH54" s="58">
        <v>4</v>
      </c>
      <c r="AI54" s="58">
        <v>120</v>
      </c>
      <c r="AJ54" s="59" t="s">
        <v>31</v>
      </c>
      <c r="AK54" s="56" t="s">
        <v>28</v>
      </c>
      <c r="AL54" s="60"/>
      <c r="AM54" s="60"/>
      <c r="AN54" s="57" t="s">
        <v>29</v>
      </c>
      <c r="AO54" s="57" t="s">
        <v>28</v>
      </c>
      <c r="AP54" s="57" t="s">
        <v>28</v>
      </c>
      <c r="AQ54" s="56" t="s">
        <v>28</v>
      </c>
      <c r="AR54" s="56" t="s">
        <v>28</v>
      </c>
      <c r="AS54" s="56" t="s">
        <v>28</v>
      </c>
      <c r="AT54" s="56" t="s">
        <v>29</v>
      </c>
      <c r="AU54" s="56" t="s">
        <v>29</v>
      </c>
      <c r="AV54" s="56" t="s">
        <v>29</v>
      </c>
      <c r="AW54" s="56" t="s">
        <v>29</v>
      </c>
      <c r="AX54" s="56" t="s">
        <v>28</v>
      </c>
      <c r="AY54" s="56" t="s">
        <v>28</v>
      </c>
      <c r="AZ54" s="58">
        <v>40</v>
      </c>
      <c r="BA54" s="59" t="s">
        <v>31</v>
      </c>
      <c r="BB54" s="81">
        <v>1600</v>
      </c>
      <c r="BC54" s="59" t="s">
        <v>31</v>
      </c>
      <c r="BD54" s="38">
        <f t="shared" si="11"/>
        <v>11428.571428571429</v>
      </c>
      <c r="BE54" s="46">
        <v>5.2</v>
      </c>
      <c r="BF54" s="59" t="s">
        <v>30</v>
      </c>
      <c r="BG54" s="57" t="s">
        <v>28</v>
      </c>
      <c r="BH54" s="45">
        <f>P54/100*44*11.29</f>
        <v>97528.692095999984</v>
      </c>
      <c r="BI54" s="45">
        <f>P54/100*44*22.59</f>
        <v>195143.76921599999</v>
      </c>
      <c r="BJ54" s="45">
        <v>0</v>
      </c>
      <c r="BK54" s="86">
        <f t="shared" si="7"/>
        <v>292672.46131199994</v>
      </c>
      <c r="BL54" s="46">
        <f t="shared" si="10"/>
        <v>2.7729000000000004</v>
      </c>
      <c r="BM54" s="90">
        <f t="shared" si="8"/>
        <v>7.972900000000001</v>
      </c>
      <c r="BN54" s="61" t="s">
        <v>32</v>
      </c>
      <c r="BO54" s="61" t="s">
        <v>32</v>
      </c>
    </row>
    <row r="55" spans="1:67" s="54" customFormat="1" ht="30">
      <c r="A55" s="55" t="s">
        <v>462</v>
      </c>
      <c r="B55" s="56" t="s">
        <v>42</v>
      </c>
      <c r="C55" s="62" t="s">
        <v>374</v>
      </c>
      <c r="D55" s="37" t="s">
        <v>375</v>
      </c>
      <c r="E55" s="57" t="s">
        <v>29</v>
      </c>
      <c r="F55" s="57" t="s">
        <v>28</v>
      </c>
      <c r="G55" s="57" t="s">
        <v>28</v>
      </c>
      <c r="H55" s="57" t="s">
        <v>28</v>
      </c>
      <c r="I55" s="57" t="s">
        <v>28</v>
      </c>
      <c r="J55" s="57" t="s">
        <v>28</v>
      </c>
      <c r="K55" s="58">
        <v>1989</v>
      </c>
      <c r="L55" s="58">
        <v>47327</v>
      </c>
      <c r="M55" s="57" t="s">
        <v>30</v>
      </c>
      <c r="N55" s="58">
        <v>34728</v>
      </c>
      <c r="O55" s="59" t="s">
        <v>30</v>
      </c>
      <c r="P55" s="58">
        <f>L55/100*72</f>
        <v>34075.440000000002</v>
      </c>
      <c r="Q55" s="58">
        <v>12599</v>
      </c>
      <c r="R55" s="57" t="s">
        <v>30</v>
      </c>
      <c r="S55" s="56" t="s">
        <v>37</v>
      </c>
      <c r="T55" s="57" t="s">
        <v>29</v>
      </c>
      <c r="U55" s="58">
        <v>163864</v>
      </c>
      <c r="V55" s="57" t="s">
        <v>29</v>
      </c>
      <c r="W55" s="58">
        <v>7679</v>
      </c>
      <c r="X55" s="58"/>
      <c r="Y55" s="58">
        <v>3706</v>
      </c>
      <c r="Z55" s="59" t="s">
        <v>30</v>
      </c>
      <c r="AA55" s="58">
        <v>0</v>
      </c>
      <c r="AB55" s="58">
        <v>0</v>
      </c>
      <c r="AC55" s="58"/>
      <c r="AD55" s="59"/>
      <c r="AE55" s="58"/>
      <c r="AF55" s="58"/>
      <c r="AG55" s="59"/>
      <c r="AH55" s="58">
        <v>15</v>
      </c>
      <c r="AI55" s="58">
        <v>1111</v>
      </c>
      <c r="AJ55" s="59" t="s">
        <v>31</v>
      </c>
      <c r="AK55" s="56" t="s">
        <v>28</v>
      </c>
      <c r="AL55" s="60"/>
      <c r="AM55" s="60"/>
      <c r="AN55" s="57" t="s">
        <v>29</v>
      </c>
      <c r="AO55" s="57" t="s">
        <v>28</v>
      </c>
      <c r="AP55" s="57" t="s">
        <v>29</v>
      </c>
      <c r="AQ55" s="56" t="s">
        <v>29</v>
      </c>
      <c r="AR55" s="56" t="s">
        <v>29</v>
      </c>
      <c r="AS55" s="56" t="s">
        <v>29</v>
      </c>
      <c r="AT55" s="56" t="s">
        <v>29</v>
      </c>
      <c r="AU55" s="56" t="s">
        <v>28</v>
      </c>
      <c r="AV55" s="56" t="s">
        <v>29</v>
      </c>
      <c r="AW55" s="56" t="s">
        <v>28</v>
      </c>
      <c r="AX55" s="56" t="s">
        <v>28</v>
      </c>
      <c r="AY55" s="56" t="s">
        <v>28</v>
      </c>
      <c r="AZ55" s="58">
        <v>140</v>
      </c>
      <c r="BA55" s="59" t="s">
        <v>30</v>
      </c>
      <c r="BB55" s="81">
        <v>10413</v>
      </c>
      <c r="BC55" s="59" t="s">
        <v>30</v>
      </c>
      <c r="BD55" s="38">
        <f t="shared" si="11"/>
        <v>74378.571428571435</v>
      </c>
      <c r="BE55" s="46">
        <v>11.61</v>
      </c>
      <c r="BF55" s="59" t="s">
        <v>30</v>
      </c>
      <c r="BG55" s="57" t="s">
        <v>29</v>
      </c>
      <c r="BH55" s="45">
        <f>P55/100*44*8.9</f>
        <v>133439.42304000002</v>
      </c>
      <c r="BI55" s="45">
        <f>P55/100*44*17.79</f>
        <v>266728.91414400004</v>
      </c>
      <c r="BJ55" s="45">
        <v>637387.73</v>
      </c>
      <c r="BK55" s="86">
        <f t="shared" si="7"/>
        <v>1037556.067184</v>
      </c>
      <c r="BL55" s="46">
        <f t="shared" si="10"/>
        <v>6.1910324999999995</v>
      </c>
      <c r="BM55" s="90">
        <f t="shared" si="8"/>
        <v>17.801032499999998</v>
      </c>
      <c r="BN55" s="61" t="s">
        <v>455</v>
      </c>
      <c r="BO55" s="61" t="s">
        <v>32</v>
      </c>
    </row>
    <row r="56" spans="1:67" s="54" customFormat="1" ht="45">
      <c r="A56" s="55" t="s">
        <v>340</v>
      </c>
      <c r="B56" s="56" t="s">
        <v>42</v>
      </c>
      <c r="C56" s="36" t="s">
        <v>373</v>
      </c>
      <c r="D56" s="37" t="s">
        <v>378</v>
      </c>
      <c r="E56" s="57" t="s">
        <v>29</v>
      </c>
      <c r="F56" s="57" t="s">
        <v>28</v>
      </c>
      <c r="G56" s="57" t="s">
        <v>28</v>
      </c>
      <c r="H56" s="57" t="s">
        <v>28</v>
      </c>
      <c r="I56" s="57" t="s">
        <v>28</v>
      </c>
      <c r="J56" s="57" t="s">
        <v>28</v>
      </c>
      <c r="K56" s="58">
        <v>2179</v>
      </c>
      <c r="L56" s="58">
        <v>53120</v>
      </c>
      <c r="M56" s="57" t="s">
        <v>30</v>
      </c>
      <c r="N56" s="58">
        <v>44661</v>
      </c>
      <c r="O56" s="59" t="s">
        <v>31</v>
      </c>
      <c r="P56" s="58">
        <f>L56/100*61</f>
        <v>32403.200000000004</v>
      </c>
      <c r="Q56" s="58">
        <v>8459</v>
      </c>
      <c r="R56" s="57" t="s">
        <v>31</v>
      </c>
      <c r="S56" s="56" t="s">
        <v>28</v>
      </c>
      <c r="T56" s="57" t="s">
        <v>29</v>
      </c>
      <c r="U56" s="58">
        <v>23328</v>
      </c>
      <c r="V56" s="57" t="s">
        <v>29</v>
      </c>
      <c r="W56" s="58">
        <v>7173</v>
      </c>
      <c r="X56" s="58">
        <v>161</v>
      </c>
      <c r="Y56" s="58">
        <v>4707</v>
      </c>
      <c r="Z56" s="59" t="s">
        <v>31</v>
      </c>
      <c r="AA56" s="58">
        <v>10</v>
      </c>
      <c r="AB56" s="58">
        <v>408</v>
      </c>
      <c r="AC56" s="58"/>
      <c r="AD56" s="59" t="s">
        <v>31</v>
      </c>
      <c r="AE56" s="58">
        <v>29</v>
      </c>
      <c r="AF56" s="58">
        <v>2226</v>
      </c>
      <c r="AG56" s="59" t="s">
        <v>31</v>
      </c>
      <c r="AH56" s="58">
        <v>1</v>
      </c>
      <c r="AI56" s="58">
        <v>282</v>
      </c>
      <c r="AJ56" s="59" t="s">
        <v>31</v>
      </c>
      <c r="AK56" s="56" t="s">
        <v>28</v>
      </c>
      <c r="AL56" s="60"/>
      <c r="AM56" s="60"/>
      <c r="AN56" s="57" t="s">
        <v>28</v>
      </c>
      <c r="AO56" s="57" t="s">
        <v>28</v>
      </c>
      <c r="AP56" s="57" t="s">
        <v>28</v>
      </c>
      <c r="AQ56" s="56" t="s">
        <v>29</v>
      </c>
      <c r="AR56" s="56" t="s">
        <v>28</v>
      </c>
      <c r="AS56" s="56" t="s">
        <v>28</v>
      </c>
      <c r="AT56" s="56" t="s">
        <v>29</v>
      </c>
      <c r="AU56" s="56" t="s">
        <v>28</v>
      </c>
      <c r="AV56" s="56" t="s">
        <v>28</v>
      </c>
      <c r="AW56" s="56" t="s">
        <v>28</v>
      </c>
      <c r="AX56" s="56" t="s">
        <v>339</v>
      </c>
      <c r="AY56" s="56" t="s">
        <v>28</v>
      </c>
      <c r="AZ56" s="58">
        <v>10</v>
      </c>
      <c r="BA56" s="59" t="s">
        <v>31</v>
      </c>
      <c r="BB56" s="81">
        <v>293</v>
      </c>
      <c r="BC56" s="59" t="s">
        <v>31</v>
      </c>
      <c r="BD56" s="38">
        <f t="shared" si="11"/>
        <v>2092.8571428571427</v>
      </c>
      <c r="BE56" s="46">
        <v>11.6</v>
      </c>
      <c r="BF56" s="59" t="s">
        <v>31</v>
      </c>
      <c r="BG56" s="57" t="s">
        <v>29</v>
      </c>
      <c r="BH56" s="45">
        <f>P56/100*31*12.91</f>
        <v>129680.84672000003</v>
      </c>
      <c r="BI56" s="45">
        <f>P56/100*31*25.82</f>
        <v>259361.69344000006</v>
      </c>
      <c r="BJ56" s="45">
        <v>179714.54813125002</v>
      </c>
      <c r="BK56" s="86">
        <f t="shared" si="7"/>
        <v>568757.08829125017</v>
      </c>
      <c r="BL56" s="46">
        <f>BE56*(1-0.25)*(1-0.25)*(1-0.375)*1.2</f>
        <v>4.8937499999999998</v>
      </c>
      <c r="BM56" s="90">
        <f t="shared" si="8"/>
        <v>16.493749999999999</v>
      </c>
      <c r="BN56" s="61" t="s">
        <v>32</v>
      </c>
      <c r="BO56" s="61" t="s">
        <v>32</v>
      </c>
    </row>
    <row r="57" spans="1:67" s="54" customFormat="1" ht="45">
      <c r="A57" s="55" t="s">
        <v>343</v>
      </c>
      <c r="B57" s="56" t="s">
        <v>42</v>
      </c>
      <c r="C57" s="64" t="s">
        <v>371</v>
      </c>
      <c r="D57" s="39" t="s">
        <v>375</v>
      </c>
      <c r="E57" s="57" t="s">
        <v>28</v>
      </c>
      <c r="F57" s="57" t="s">
        <v>28</v>
      </c>
      <c r="G57" s="57" t="s">
        <v>29</v>
      </c>
      <c r="H57" s="57" t="s">
        <v>28</v>
      </c>
      <c r="I57" s="57" t="s">
        <v>28</v>
      </c>
      <c r="J57" s="57" t="s">
        <v>28</v>
      </c>
      <c r="K57" s="58">
        <v>1646</v>
      </c>
      <c r="L57" s="58">
        <v>12648</v>
      </c>
      <c r="M57" s="57" t="s">
        <v>30</v>
      </c>
      <c r="N57" s="58">
        <v>9486</v>
      </c>
      <c r="O57" s="59" t="s">
        <v>31</v>
      </c>
      <c r="P57" s="58">
        <f>L57/100*72</f>
        <v>9106.56</v>
      </c>
      <c r="Q57" s="58">
        <v>3162</v>
      </c>
      <c r="R57" s="57" t="s">
        <v>31</v>
      </c>
      <c r="S57" s="56" t="s">
        <v>344</v>
      </c>
      <c r="T57" s="57" t="s">
        <v>29</v>
      </c>
      <c r="U57" s="58">
        <v>5554</v>
      </c>
      <c r="V57" s="57" t="s">
        <v>29</v>
      </c>
      <c r="W57" s="58">
        <v>5537</v>
      </c>
      <c r="X57" s="58">
        <v>38</v>
      </c>
      <c r="Y57" s="58">
        <v>1120</v>
      </c>
      <c r="Z57" s="59" t="s">
        <v>31</v>
      </c>
      <c r="AA57" s="58">
        <v>2</v>
      </c>
      <c r="AB57" s="58">
        <v>97</v>
      </c>
      <c r="AC57" s="58"/>
      <c r="AD57" s="59" t="s">
        <v>31</v>
      </c>
      <c r="AE57" s="58">
        <v>7</v>
      </c>
      <c r="AF57" s="58">
        <v>5302</v>
      </c>
      <c r="AG57" s="59" t="s">
        <v>31</v>
      </c>
      <c r="AH57" s="58">
        <v>1</v>
      </c>
      <c r="AI57" s="58">
        <v>67</v>
      </c>
      <c r="AJ57" s="59" t="s">
        <v>31</v>
      </c>
      <c r="AK57" s="56" t="s">
        <v>28</v>
      </c>
      <c r="AL57" s="60"/>
      <c r="AM57" s="60"/>
      <c r="AN57" s="57" t="s">
        <v>28</v>
      </c>
      <c r="AO57" s="57" t="s">
        <v>28</v>
      </c>
      <c r="AP57" s="57" t="s">
        <v>28</v>
      </c>
      <c r="AQ57" s="56" t="s">
        <v>29</v>
      </c>
      <c r="AR57" s="56" t="s">
        <v>28</v>
      </c>
      <c r="AS57" s="56" t="s">
        <v>28</v>
      </c>
      <c r="AT57" s="56" t="s">
        <v>29</v>
      </c>
      <c r="AU57" s="56" t="s">
        <v>28</v>
      </c>
      <c r="AV57" s="56" t="s">
        <v>28</v>
      </c>
      <c r="AW57" s="56" t="s">
        <v>28</v>
      </c>
      <c r="AX57" s="56" t="s">
        <v>339</v>
      </c>
      <c r="AY57" s="56" t="s">
        <v>28</v>
      </c>
      <c r="AZ57" s="58">
        <v>11</v>
      </c>
      <c r="BA57" s="59" t="s">
        <v>31</v>
      </c>
      <c r="BB57" s="81">
        <v>902</v>
      </c>
      <c r="BC57" s="59" t="s">
        <v>31</v>
      </c>
      <c r="BD57" s="38">
        <f t="shared" si="11"/>
        <v>6442.8571428571431</v>
      </c>
      <c r="BE57" s="46">
        <v>2.7</v>
      </c>
      <c r="BF57" s="59" t="s">
        <v>31</v>
      </c>
      <c r="BG57" s="57" t="s">
        <v>29</v>
      </c>
      <c r="BH57" s="45">
        <f>P57/100*44*12.86</f>
        <v>51528.559103999993</v>
      </c>
      <c r="BI57" s="45">
        <f>P57/100*44*25.73</f>
        <v>103097.18707199999</v>
      </c>
      <c r="BJ57" s="45">
        <v>45751.364487500003</v>
      </c>
      <c r="BK57" s="86">
        <f t="shared" si="7"/>
        <v>200377.11066349997</v>
      </c>
      <c r="BL57" s="46">
        <f t="shared" ref="BL57:BL82" si="12">BE57*(1-0.25)*(1-0.21)*(1-0.25)*1.2</f>
        <v>1.4397750000000005</v>
      </c>
      <c r="BM57" s="90">
        <f t="shared" si="8"/>
        <v>4.1397750000000002</v>
      </c>
      <c r="BN57" s="61" t="s">
        <v>32</v>
      </c>
      <c r="BO57" s="61" t="s">
        <v>32</v>
      </c>
    </row>
    <row r="58" spans="1:67" s="54" customFormat="1" ht="45">
      <c r="A58" s="55" t="s">
        <v>345</v>
      </c>
      <c r="B58" s="56" t="s">
        <v>42</v>
      </c>
      <c r="C58" s="62" t="s">
        <v>371</v>
      </c>
      <c r="D58" s="37" t="s">
        <v>375</v>
      </c>
      <c r="E58" s="57" t="s">
        <v>29</v>
      </c>
      <c r="F58" s="57" t="s">
        <v>28</v>
      </c>
      <c r="G58" s="57" t="s">
        <v>28</v>
      </c>
      <c r="H58" s="57" t="s">
        <v>28</v>
      </c>
      <c r="I58" s="57" t="s">
        <v>28</v>
      </c>
      <c r="J58" s="57" t="s">
        <v>28</v>
      </c>
      <c r="K58" s="58">
        <v>2127</v>
      </c>
      <c r="L58" s="58">
        <v>46461</v>
      </c>
      <c r="M58" s="57" t="s">
        <v>30</v>
      </c>
      <c r="N58" s="58">
        <v>18130</v>
      </c>
      <c r="O58" s="59" t="s">
        <v>31</v>
      </c>
      <c r="P58" s="58">
        <f>L58/100*72</f>
        <v>33451.919999999998</v>
      </c>
      <c r="Q58" s="58">
        <v>28331</v>
      </c>
      <c r="R58" s="57" t="s">
        <v>31</v>
      </c>
      <c r="S58" s="56" t="s">
        <v>28</v>
      </c>
      <c r="T58" s="57" t="s">
        <v>29</v>
      </c>
      <c r="U58" s="58">
        <v>20404</v>
      </c>
      <c r="V58" s="57" t="s">
        <v>28</v>
      </c>
      <c r="W58" s="58"/>
      <c r="X58" s="58">
        <v>141</v>
      </c>
      <c r="Y58" s="58">
        <v>4117</v>
      </c>
      <c r="Z58" s="59" t="s">
        <v>31</v>
      </c>
      <c r="AA58" s="58">
        <v>8</v>
      </c>
      <c r="AB58" s="58">
        <v>357</v>
      </c>
      <c r="AC58" s="58"/>
      <c r="AD58" s="59" t="s">
        <v>31</v>
      </c>
      <c r="AE58" s="58">
        <v>25</v>
      </c>
      <c r="AF58" s="58">
        <v>1947</v>
      </c>
      <c r="AG58" s="59" t="s">
        <v>31</v>
      </c>
      <c r="AH58" s="58">
        <v>1</v>
      </c>
      <c r="AI58" s="58">
        <v>246</v>
      </c>
      <c r="AJ58" s="59" t="s">
        <v>31</v>
      </c>
      <c r="AK58" s="56" t="s">
        <v>28</v>
      </c>
      <c r="AL58" s="60"/>
      <c r="AM58" s="60"/>
      <c r="AN58" s="57" t="s">
        <v>29</v>
      </c>
      <c r="AO58" s="57" t="s">
        <v>28</v>
      </c>
      <c r="AP58" s="57" t="s">
        <v>28</v>
      </c>
      <c r="AQ58" s="56" t="s">
        <v>29</v>
      </c>
      <c r="AR58" s="56" t="s">
        <v>28</v>
      </c>
      <c r="AS58" s="56" t="s">
        <v>28</v>
      </c>
      <c r="AT58" s="56" t="s">
        <v>29</v>
      </c>
      <c r="AU58" s="56" t="s">
        <v>28</v>
      </c>
      <c r="AV58" s="56" t="s">
        <v>28</v>
      </c>
      <c r="AW58" s="56" t="s">
        <v>28</v>
      </c>
      <c r="AX58" s="56" t="s">
        <v>339</v>
      </c>
      <c r="AY58" s="56" t="s">
        <v>28</v>
      </c>
      <c r="AZ58" s="58">
        <v>39</v>
      </c>
      <c r="BA58" s="59" t="s">
        <v>31</v>
      </c>
      <c r="BB58" s="81">
        <v>3315</v>
      </c>
      <c r="BC58" s="59" t="s">
        <v>31</v>
      </c>
      <c r="BD58" s="38">
        <f t="shared" si="11"/>
        <v>23678.571428571428</v>
      </c>
      <c r="BE58" s="46">
        <v>10.14</v>
      </c>
      <c r="BF58" s="59" t="s">
        <v>31</v>
      </c>
      <c r="BG58" s="57" t="s">
        <v>29</v>
      </c>
      <c r="BH58" s="45">
        <f>P58/100*44*12.86</f>
        <v>189284.34412799997</v>
      </c>
      <c r="BI58" s="45">
        <f>P58/100*44*25.73</f>
        <v>378715.87670399999</v>
      </c>
      <c r="BJ58" s="45">
        <v>168062.4360625</v>
      </c>
      <c r="BK58" s="86">
        <f t="shared" si="7"/>
        <v>736062.65689450002</v>
      </c>
      <c r="BL58" s="46">
        <f t="shared" si="12"/>
        <v>5.4071550000000004</v>
      </c>
      <c r="BM58" s="90">
        <f t="shared" si="8"/>
        <v>15.547155</v>
      </c>
      <c r="BN58" s="61" t="s">
        <v>32</v>
      </c>
      <c r="BO58" s="61" t="s">
        <v>32</v>
      </c>
    </row>
    <row r="59" spans="1:67" s="54" customFormat="1" ht="30">
      <c r="A59" s="55" t="s">
        <v>449</v>
      </c>
      <c r="B59" s="56" t="s">
        <v>27</v>
      </c>
      <c r="C59" s="62" t="s">
        <v>371</v>
      </c>
      <c r="D59" s="37" t="s">
        <v>375</v>
      </c>
      <c r="E59" s="57" t="s">
        <v>28</v>
      </c>
      <c r="F59" s="57" t="s">
        <v>29</v>
      </c>
      <c r="G59" s="57" t="s">
        <v>28</v>
      </c>
      <c r="H59" s="57" t="s">
        <v>28</v>
      </c>
      <c r="I59" s="57" t="s">
        <v>28</v>
      </c>
      <c r="J59" s="57" t="s">
        <v>28</v>
      </c>
      <c r="K59" s="58">
        <v>431</v>
      </c>
      <c r="L59" s="58">
        <v>10570</v>
      </c>
      <c r="M59" s="57" t="s">
        <v>30</v>
      </c>
      <c r="N59" s="58">
        <v>6602</v>
      </c>
      <c r="O59" s="59" t="s">
        <v>30</v>
      </c>
      <c r="P59" s="58">
        <f>L59/100*72</f>
        <v>7610.4000000000005</v>
      </c>
      <c r="Q59" s="58">
        <v>3968</v>
      </c>
      <c r="R59" s="57" t="s">
        <v>30</v>
      </c>
      <c r="S59" s="56" t="s">
        <v>94</v>
      </c>
      <c r="T59" s="57" t="s">
        <v>29</v>
      </c>
      <c r="U59" s="58"/>
      <c r="V59" s="57" t="s">
        <v>29</v>
      </c>
      <c r="W59" s="58"/>
      <c r="X59" s="58">
        <v>26</v>
      </c>
      <c r="Y59" s="58">
        <v>1064</v>
      </c>
      <c r="Z59" s="59" t="s">
        <v>30</v>
      </c>
      <c r="AA59" s="58">
        <v>0</v>
      </c>
      <c r="AB59" s="58">
        <v>0</v>
      </c>
      <c r="AC59" s="58">
        <v>26</v>
      </c>
      <c r="AD59" s="59" t="s">
        <v>30</v>
      </c>
      <c r="AE59" s="58">
        <v>20</v>
      </c>
      <c r="AF59" s="58">
        <v>100</v>
      </c>
      <c r="AG59" s="59" t="s">
        <v>31</v>
      </c>
      <c r="AH59" s="58">
        <v>9</v>
      </c>
      <c r="AI59" s="58">
        <v>180</v>
      </c>
      <c r="AJ59" s="59" t="s">
        <v>31</v>
      </c>
      <c r="AK59" s="56" t="s">
        <v>29</v>
      </c>
      <c r="AL59" s="60">
        <v>5.5</v>
      </c>
      <c r="AM59" s="60">
        <v>3.5</v>
      </c>
      <c r="AN59" s="57" t="s">
        <v>29</v>
      </c>
      <c r="AO59" s="57" t="s">
        <v>29</v>
      </c>
      <c r="AP59" s="57"/>
      <c r="AQ59" s="56" t="s">
        <v>28</v>
      </c>
      <c r="AR59" s="56" t="s">
        <v>29</v>
      </c>
      <c r="AS59" s="56" t="s">
        <v>28</v>
      </c>
      <c r="AT59" s="56" t="s">
        <v>29</v>
      </c>
      <c r="AU59" s="56" t="s">
        <v>29</v>
      </c>
      <c r="AV59" s="56" t="s">
        <v>29</v>
      </c>
      <c r="AW59" s="56" t="s">
        <v>29</v>
      </c>
      <c r="AX59" s="56" t="s">
        <v>28</v>
      </c>
      <c r="AY59" s="56" t="s">
        <v>28</v>
      </c>
      <c r="AZ59" s="58">
        <v>60</v>
      </c>
      <c r="BA59" s="59" t="s">
        <v>31</v>
      </c>
      <c r="BB59" s="81">
        <v>25452</v>
      </c>
      <c r="BC59" s="59" t="s">
        <v>30</v>
      </c>
      <c r="BD59" s="38">
        <f t="shared" si="11"/>
        <v>181800</v>
      </c>
      <c r="BE59" s="46">
        <v>52</v>
      </c>
      <c r="BF59" s="59" t="s">
        <v>30</v>
      </c>
      <c r="BG59" s="57" t="s">
        <v>73</v>
      </c>
      <c r="BH59" s="45">
        <f>P59/100*44*12.86</f>
        <v>43062.687359999996</v>
      </c>
      <c r="BI59" s="45">
        <f>P59/100*44*25.73</f>
        <v>86158.860480000003</v>
      </c>
      <c r="BJ59" s="45">
        <v>122441.68124999999</v>
      </c>
      <c r="BK59" s="86">
        <f t="shared" si="7"/>
        <v>251663.22908999998</v>
      </c>
      <c r="BL59" s="46">
        <f t="shared" si="12"/>
        <v>27.729000000000003</v>
      </c>
      <c r="BM59" s="90">
        <f t="shared" si="8"/>
        <v>79.728999999999999</v>
      </c>
      <c r="BN59" s="61" t="s">
        <v>32</v>
      </c>
      <c r="BO59" s="61" t="s">
        <v>32</v>
      </c>
    </row>
    <row r="60" spans="1:67" s="54" customFormat="1" ht="30">
      <c r="A60" s="55" t="s">
        <v>397</v>
      </c>
      <c r="B60" s="56" t="s">
        <v>27</v>
      </c>
      <c r="C60" s="36" t="s">
        <v>374</v>
      </c>
      <c r="D60" s="37" t="s">
        <v>377</v>
      </c>
      <c r="E60" s="57" t="s">
        <v>28</v>
      </c>
      <c r="F60" s="57" t="s">
        <v>29</v>
      </c>
      <c r="G60" s="57" t="s">
        <v>28</v>
      </c>
      <c r="H60" s="57" t="s">
        <v>28</v>
      </c>
      <c r="I60" s="57" t="s">
        <v>28</v>
      </c>
      <c r="J60" s="57" t="s">
        <v>28</v>
      </c>
      <c r="K60" s="58">
        <v>955</v>
      </c>
      <c r="L60" s="58">
        <v>6835</v>
      </c>
      <c r="M60" s="57" t="s">
        <v>30</v>
      </c>
      <c r="N60" s="58">
        <v>5064</v>
      </c>
      <c r="O60" s="59" t="s">
        <v>30</v>
      </c>
      <c r="P60" s="58">
        <f>L60/100*75</f>
        <v>5126.25</v>
      </c>
      <c r="Q60" s="58">
        <v>1771</v>
      </c>
      <c r="R60" s="57" t="s">
        <v>30</v>
      </c>
      <c r="S60" s="56" t="s">
        <v>106</v>
      </c>
      <c r="T60" s="57" t="s">
        <v>29</v>
      </c>
      <c r="U60" s="58"/>
      <c r="V60" s="57" t="s">
        <v>29</v>
      </c>
      <c r="W60" s="58"/>
      <c r="X60" s="58">
        <v>15</v>
      </c>
      <c r="Y60" s="58">
        <v>717</v>
      </c>
      <c r="Z60" s="59" t="s">
        <v>30</v>
      </c>
      <c r="AA60" s="58">
        <v>20</v>
      </c>
      <c r="AB60" s="58">
        <v>4067</v>
      </c>
      <c r="AC60" s="58">
        <v>24</v>
      </c>
      <c r="AD60" s="59" t="s">
        <v>31</v>
      </c>
      <c r="AE60" s="58">
        <v>8</v>
      </c>
      <c r="AF60" s="58">
        <v>542</v>
      </c>
      <c r="AG60" s="59" t="s">
        <v>31</v>
      </c>
      <c r="AH60" s="58">
        <v>1</v>
      </c>
      <c r="AI60" s="58">
        <v>410</v>
      </c>
      <c r="AJ60" s="59" t="s">
        <v>31</v>
      </c>
      <c r="AK60" s="56" t="s">
        <v>28</v>
      </c>
      <c r="AL60" s="60"/>
      <c r="AM60" s="60"/>
      <c r="AN60" s="57" t="s">
        <v>29</v>
      </c>
      <c r="AO60" s="57" t="s">
        <v>28</v>
      </c>
      <c r="AP60" s="57" t="s">
        <v>28</v>
      </c>
      <c r="AQ60" s="56" t="s">
        <v>29</v>
      </c>
      <c r="AR60" s="56" t="s">
        <v>29</v>
      </c>
      <c r="AS60" s="56" t="s">
        <v>29</v>
      </c>
      <c r="AT60" s="56" t="s">
        <v>29</v>
      </c>
      <c r="AU60" s="56" t="s">
        <v>29</v>
      </c>
      <c r="AV60" s="56" t="s">
        <v>28</v>
      </c>
      <c r="AW60" s="56" t="s">
        <v>29</v>
      </c>
      <c r="AX60" s="56" t="s">
        <v>28</v>
      </c>
      <c r="AY60" s="56" t="s">
        <v>28</v>
      </c>
      <c r="AZ60" s="58">
        <v>48</v>
      </c>
      <c r="BA60" s="59" t="s">
        <v>30</v>
      </c>
      <c r="BB60" s="81">
        <v>7000</v>
      </c>
      <c r="BC60" s="59" t="s">
        <v>31</v>
      </c>
      <c r="BD60" s="38">
        <f t="shared" si="11"/>
        <v>50000</v>
      </c>
      <c r="BE60" s="46">
        <v>1</v>
      </c>
      <c r="BF60" s="59" t="s">
        <v>30</v>
      </c>
      <c r="BG60" s="57" t="s">
        <v>73</v>
      </c>
      <c r="BH60" s="45">
        <f>P60/100*47*8.9</f>
        <v>21443.103750000002</v>
      </c>
      <c r="BI60" s="45">
        <f>P60/100*47*17.79</f>
        <v>42862.114125</v>
      </c>
      <c r="BJ60" s="45">
        <v>29250.582987499994</v>
      </c>
      <c r="BK60" s="86">
        <f t="shared" si="7"/>
        <v>93555.800862499993</v>
      </c>
      <c r="BL60" s="46">
        <f t="shared" si="12"/>
        <v>0.53325</v>
      </c>
      <c r="BM60" s="90">
        <f t="shared" si="8"/>
        <v>1.53325</v>
      </c>
      <c r="BN60" s="61" t="s">
        <v>106</v>
      </c>
      <c r="BO60" s="61" t="s">
        <v>106</v>
      </c>
    </row>
    <row r="61" spans="1:67" s="54" customFormat="1" ht="30">
      <c r="A61" s="55" t="s">
        <v>202</v>
      </c>
      <c r="B61" s="56" t="s">
        <v>36</v>
      </c>
      <c r="C61" s="36" t="s">
        <v>370</v>
      </c>
      <c r="D61" s="37" t="s">
        <v>375</v>
      </c>
      <c r="E61" s="57" t="s">
        <v>29</v>
      </c>
      <c r="F61" s="57" t="s">
        <v>28</v>
      </c>
      <c r="G61" s="57" t="s">
        <v>28</v>
      </c>
      <c r="H61" s="57" t="s">
        <v>28</v>
      </c>
      <c r="I61" s="57" t="s">
        <v>28</v>
      </c>
      <c r="J61" s="57" t="s">
        <v>28</v>
      </c>
      <c r="K61" s="58">
        <v>264</v>
      </c>
      <c r="L61" s="58">
        <v>45469</v>
      </c>
      <c r="M61" s="57" t="s">
        <v>30</v>
      </c>
      <c r="N61" s="58">
        <v>42273</v>
      </c>
      <c r="O61" s="59" t="s">
        <v>30</v>
      </c>
      <c r="P61" s="58">
        <f>L61/100*72</f>
        <v>32737.68</v>
      </c>
      <c r="Q61" s="58">
        <v>3196</v>
      </c>
      <c r="R61" s="57" t="s">
        <v>30</v>
      </c>
      <c r="S61" s="56" t="s">
        <v>203</v>
      </c>
      <c r="T61" s="57" t="s">
        <v>29</v>
      </c>
      <c r="U61" s="58">
        <v>512298</v>
      </c>
      <c r="V61" s="57" t="s">
        <v>29</v>
      </c>
      <c r="W61" s="58">
        <v>56267</v>
      </c>
      <c r="X61" s="58">
        <v>22</v>
      </c>
      <c r="Y61" s="58">
        <v>623</v>
      </c>
      <c r="Z61" s="59" t="s">
        <v>30</v>
      </c>
      <c r="AA61" s="58">
        <v>52</v>
      </c>
      <c r="AB61" s="58">
        <v>2315</v>
      </c>
      <c r="AC61" s="58">
        <v>39</v>
      </c>
      <c r="AD61" s="59" t="s">
        <v>31</v>
      </c>
      <c r="AE61" s="58">
        <v>38</v>
      </c>
      <c r="AF61" s="58">
        <v>2551</v>
      </c>
      <c r="AG61" s="59" t="s">
        <v>30</v>
      </c>
      <c r="AH61" s="58">
        <v>158</v>
      </c>
      <c r="AI61" s="58">
        <v>4589</v>
      </c>
      <c r="AJ61" s="59" t="s">
        <v>30</v>
      </c>
      <c r="AK61" s="56" t="s">
        <v>28</v>
      </c>
      <c r="AL61" s="60"/>
      <c r="AM61" s="60"/>
      <c r="AN61" s="57" t="s">
        <v>29</v>
      </c>
      <c r="AO61" s="57" t="s">
        <v>28</v>
      </c>
      <c r="AP61" s="57" t="s">
        <v>29</v>
      </c>
      <c r="AQ61" s="56" t="s">
        <v>29</v>
      </c>
      <c r="AR61" s="56" t="s">
        <v>29</v>
      </c>
      <c r="AS61" s="56" t="s">
        <v>29</v>
      </c>
      <c r="AT61" s="56" t="s">
        <v>29</v>
      </c>
      <c r="AU61" s="56" t="s">
        <v>29</v>
      </c>
      <c r="AV61" s="56" t="s">
        <v>29</v>
      </c>
      <c r="AW61" s="56" t="s">
        <v>29</v>
      </c>
      <c r="AX61" s="56" t="s">
        <v>28</v>
      </c>
      <c r="AY61" s="56" t="s">
        <v>28</v>
      </c>
      <c r="AZ61" s="58">
        <v>51</v>
      </c>
      <c r="BA61" s="59" t="s">
        <v>30</v>
      </c>
      <c r="BB61" s="81">
        <v>739</v>
      </c>
      <c r="BC61" s="59" t="s">
        <v>30</v>
      </c>
      <c r="BD61" s="38">
        <f t="shared" si="11"/>
        <v>5278.5714285714284</v>
      </c>
      <c r="BE61" s="46">
        <v>33.15</v>
      </c>
      <c r="BF61" s="59" t="s">
        <v>30</v>
      </c>
      <c r="BG61" s="57" t="s">
        <v>29</v>
      </c>
      <c r="BH61" s="45">
        <f>P61/100*44*17.99</f>
        <v>259138.37980799997</v>
      </c>
      <c r="BI61" s="45">
        <f>P61/100*44*35.98</f>
        <v>518276.75961599994</v>
      </c>
      <c r="BJ61" s="45">
        <v>1059213.4350000001</v>
      </c>
      <c r="BK61" s="86">
        <f t="shared" si="7"/>
        <v>1836628.574424</v>
      </c>
      <c r="BL61" s="46">
        <f t="shared" si="12"/>
        <v>17.6772375</v>
      </c>
      <c r="BM61" s="90">
        <f t="shared" si="8"/>
        <v>50.827237499999995</v>
      </c>
      <c r="BN61" s="61" t="s">
        <v>204</v>
      </c>
      <c r="BO61" s="61" t="s">
        <v>32</v>
      </c>
    </row>
    <row r="62" spans="1:67" s="54" customFormat="1" ht="45">
      <c r="A62" s="55" t="s">
        <v>412</v>
      </c>
      <c r="B62" s="56" t="s">
        <v>27</v>
      </c>
      <c r="C62" s="36" t="s">
        <v>374</v>
      </c>
      <c r="D62" s="37" t="s">
        <v>375</v>
      </c>
      <c r="E62" s="57" t="s">
        <v>28</v>
      </c>
      <c r="F62" s="57" t="s">
        <v>29</v>
      </c>
      <c r="G62" s="57" t="s">
        <v>28</v>
      </c>
      <c r="H62" s="57" t="s">
        <v>28</v>
      </c>
      <c r="I62" s="57" t="s">
        <v>28</v>
      </c>
      <c r="J62" s="57" t="s">
        <v>28</v>
      </c>
      <c r="K62" s="58">
        <v>712</v>
      </c>
      <c r="L62" s="58">
        <v>17639</v>
      </c>
      <c r="M62" s="57" t="s">
        <v>30</v>
      </c>
      <c r="N62" s="58">
        <v>12400</v>
      </c>
      <c r="O62" s="59" t="s">
        <v>31</v>
      </c>
      <c r="P62" s="58">
        <f>L62/100*72</f>
        <v>12700.079999999998</v>
      </c>
      <c r="Q62" s="58">
        <v>5210</v>
      </c>
      <c r="R62" s="57" t="s">
        <v>31</v>
      </c>
      <c r="S62" s="56" t="s">
        <v>198</v>
      </c>
      <c r="T62" s="57" t="s">
        <v>29</v>
      </c>
      <c r="U62" s="58"/>
      <c r="V62" s="57" t="s">
        <v>29</v>
      </c>
      <c r="W62" s="58">
        <v>3648</v>
      </c>
      <c r="X62" s="58"/>
      <c r="Y62" s="58"/>
      <c r="Z62" s="59"/>
      <c r="AA62" s="58"/>
      <c r="AB62" s="58"/>
      <c r="AC62" s="58"/>
      <c r="AD62" s="59"/>
      <c r="AE62" s="58"/>
      <c r="AF62" s="58"/>
      <c r="AG62" s="59"/>
      <c r="AH62" s="58"/>
      <c r="AI62" s="58"/>
      <c r="AJ62" s="59"/>
      <c r="AK62" s="56" t="s">
        <v>29</v>
      </c>
      <c r="AL62" s="60">
        <v>10.5</v>
      </c>
      <c r="AM62" s="60">
        <v>6.5</v>
      </c>
      <c r="AN62" s="57" t="s">
        <v>29</v>
      </c>
      <c r="AO62" s="57" t="s">
        <v>29</v>
      </c>
      <c r="AP62" s="57"/>
      <c r="AQ62" s="56" t="s">
        <v>28</v>
      </c>
      <c r="AR62" s="56" t="s">
        <v>28</v>
      </c>
      <c r="AS62" s="56" t="s">
        <v>28</v>
      </c>
      <c r="AT62" s="56" t="s">
        <v>29</v>
      </c>
      <c r="AU62" s="56" t="s">
        <v>28</v>
      </c>
      <c r="AV62" s="56" t="s">
        <v>28</v>
      </c>
      <c r="AW62" s="56" t="s">
        <v>29</v>
      </c>
      <c r="AX62" s="56" t="s">
        <v>28</v>
      </c>
      <c r="AY62" s="56" t="s">
        <v>199</v>
      </c>
      <c r="AZ62" s="58">
        <v>419</v>
      </c>
      <c r="BA62" s="59" t="s">
        <v>30</v>
      </c>
      <c r="BB62" s="81">
        <v>39500</v>
      </c>
      <c r="BC62" s="59" t="s">
        <v>31</v>
      </c>
      <c r="BD62" s="38">
        <f t="shared" si="11"/>
        <v>282142.85714285716</v>
      </c>
      <c r="BE62" s="46">
        <v>0</v>
      </c>
      <c r="BF62" s="59" t="s">
        <v>30</v>
      </c>
      <c r="BG62" s="57" t="s">
        <v>73</v>
      </c>
      <c r="BH62" s="45">
        <f>P62/100*44*8.9</f>
        <v>49733.513279999999</v>
      </c>
      <c r="BI62" s="45">
        <f>P62/100*44*17.79</f>
        <v>99411.146207999976</v>
      </c>
      <c r="BJ62" s="45">
        <v>73530.196249999994</v>
      </c>
      <c r="BK62" s="86">
        <f t="shared" si="7"/>
        <v>222674.85573799995</v>
      </c>
      <c r="BL62" s="46">
        <f t="shared" si="12"/>
        <v>0</v>
      </c>
      <c r="BM62" s="90">
        <f t="shared" si="8"/>
        <v>0</v>
      </c>
      <c r="BN62" s="61" t="s">
        <v>200</v>
      </c>
      <c r="BO62" s="61" t="s">
        <v>201</v>
      </c>
    </row>
    <row r="63" spans="1:67" s="54" customFormat="1" ht="60">
      <c r="A63" s="55" t="s">
        <v>178</v>
      </c>
      <c r="B63" s="56" t="s">
        <v>27</v>
      </c>
      <c r="C63" s="62" t="s">
        <v>371</v>
      </c>
      <c r="D63" s="37" t="s">
        <v>377</v>
      </c>
      <c r="E63" s="57" t="s">
        <v>28</v>
      </c>
      <c r="F63" s="57" t="s">
        <v>29</v>
      </c>
      <c r="G63" s="57" t="s">
        <v>28</v>
      </c>
      <c r="H63" s="57" t="s">
        <v>28</v>
      </c>
      <c r="I63" s="57" t="s">
        <v>28</v>
      </c>
      <c r="J63" s="57" t="s">
        <v>28</v>
      </c>
      <c r="K63" s="58">
        <v>639</v>
      </c>
      <c r="L63" s="58">
        <v>4892</v>
      </c>
      <c r="M63" s="57" t="s">
        <v>30</v>
      </c>
      <c r="N63" s="58">
        <v>4647</v>
      </c>
      <c r="O63" s="59" t="s">
        <v>30</v>
      </c>
      <c r="P63" s="58">
        <f>L63/100*75</f>
        <v>3669</v>
      </c>
      <c r="Q63" s="58">
        <v>245</v>
      </c>
      <c r="R63" s="57" t="s">
        <v>30</v>
      </c>
      <c r="S63" s="56" t="s">
        <v>37</v>
      </c>
      <c r="T63" s="57" t="s">
        <v>29</v>
      </c>
      <c r="U63" s="58">
        <v>12226</v>
      </c>
      <c r="V63" s="57" t="s">
        <v>29</v>
      </c>
      <c r="W63" s="58"/>
      <c r="X63" s="58">
        <v>0</v>
      </c>
      <c r="Y63" s="58">
        <v>0</v>
      </c>
      <c r="Z63" s="59" t="s">
        <v>30</v>
      </c>
      <c r="AA63" s="58">
        <v>0</v>
      </c>
      <c r="AB63" s="58">
        <v>0</v>
      </c>
      <c r="AC63" s="58">
        <v>0</v>
      </c>
      <c r="AD63" s="59" t="s">
        <v>30</v>
      </c>
      <c r="AE63" s="58">
        <v>0</v>
      </c>
      <c r="AF63" s="58">
        <v>0</v>
      </c>
      <c r="AG63" s="59" t="s">
        <v>30</v>
      </c>
      <c r="AH63" s="58">
        <v>1</v>
      </c>
      <c r="AI63" s="58">
        <v>20</v>
      </c>
      <c r="AJ63" s="59" t="s">
        <v>31</v>
      </c>
      <c r="AK63" s="56" t="s">
        <v>29</v>
      </c>
      <c r="AL63" s="60">
        <v>3.5</v>
      </c>
      <c r="AM63" s="60">
        <v>0</v>
      </c>
      <c r="AN63" s="57" t="s">
        <v>29</v>
      </c>
      <c r="AO63" s="57" t="s">
        <v>28</v>
      </c>
      <c r="AP63" s="57" t="s">
        <v>28</v>
      </c>
      <c r="AQ63" s="56" t="s">
        <v>28</v>
      </c>
      <c r="AR63" s="56" t="s">
        <v>28</v>
      </c>
      <c r="AS63" s="56" t="s">
        <v>29</v>
      </c>
      <c r="AT63" s="56" t="s">
        <v>28</v>
      </c>
      <c r="AU63" s="56" t="s">
        <v>29</v>
      </c>
      <c r="AV63" s="56" t="s">
        <v>28</v>
      </c>
      <c r="AW63" s="56" t="s">
        <v>29</v>
      </c>
      <c r="AX63" s="56" t="s">
        <v>28</v>
      </c>
      <c r="AY63" s="56" t="s">
        <v>28</v>
      </c>
      <c r="AZ63" s="58">
        <v>49</v>
      </c>
      <c r="BA63" s="59" t="s">
        <v>30</v>
      </c>
      <c r="BB63" s="81">
        <v>5600</v>
      </c>
      <c r="BC63" s="59" t="s">
        <v>31</v>
      </c>
      <c r="BD63" s="38">
        <f t="shared" si="11"/>
        <v>40000</v>
      </c>
      <c r="BE63" s="46">
        <v>0.1</v>
      </c>
      <c r="BF63" s="59" t="s">
        <v>30</v>
      </c>
      <c r="BG63" s="57" t="s">
        <v>29</v>
      </c>
      <c r="BH63" s="45">
        <f>P63/100*47*12.86</f>
        <v>22176.169799999996</v>
      </c>
      <c r="BI63" s="45">
        <f>P63/100*47*23.73</f>
        <v>40920.723899999997</v>
      </c>
      <c r="BJ63" s="45">
        <v>30312.1875</v>
      </c>
      <c r="BK63" s="86">
        <f t="shared" si="7"/>
        <v>93409.081199999986</v>
      </c>
      <c r="BL63" s="46">
        <f t="shared" si="12"/>
        <v>5.3325000000000004E-2</v>
      </c>
      <c r="BM63" s="90">
        <f t="shared" si="8"/>
        <v>0.15332500000000002</v>
      </c>
      <c r="BN63" s="61" t="s">
        <v>179</v>
      </c>
      <c r="BO63" s="61" t="s">
        <v>180</v>
      </c>
    </row>
    <row r="64" spans="1:67" s="54" customFormat="1">
      <c r="A64" s="55" t="s">
        <v>463</v>
      </c>
      <c r="B64" s="61" t="s">
        <v>27</v>
      </c>
      <c r="C64" s="62" t="s">
        <v>371</v>
      </c>
      <c r="D64" s="37" t="s">
        <v>375</v>
      </c>
      <c r="E64" s="57" t="s">
        <v>28</v>
      </c>
      <c r="F64" s="57" t="s">
        <v>29</v>
      </c>
      <c r="G64" s="57" t="s">
        <v>28</v>
      </c>
      <c r="H64" s="57" t="s">
        <v>28</v>
      </c>
      <c r="I64" s="57" t="s">
        <v>28</v>
      </c>
      <c r="J64" s="57" t="s">
        <v>28</v>
      </c>
      <c r="K64" s="58">
        <v>1500</v>
      </c>
      <c r="L64" s="58">
        <v>10778</v>
      </c>
      <c r="M64" s="57" t="s">
        <v>30</v>
      </c>
      <c r="N64" s="58">
        <v>8000</v>
      </c>
      <c r="O64" s="59" t="s">
        <v>31</v>
      </c>
      <c r="P64" s="58">
        <f>L64/100*72</f>
        <v>7760.16</v>
      </c>
      <c r="Q64" s="58">
        <v>2700</v>
      </c>
      <c r="R64" s="57" t="s">
        <v>31</v>
      </c>
      <c r="S64" s="56" t="s">
        <v>269</v>
      </c>
      <c r="T64" s="57" t="s">
        <v>29</v>
      </c>
      <c r="U64" s="58"/>
      <c r="V64" s="57" t="s">
        <v>29</v>
      </c>
      <c r="W64" s="58"/>
      <c r="X64" s="58">
        <v>12</v>
      </c>
      <c r="Y64" s="58">
        <v>533</v>
      </c>
      <c r="Z64" s="59" t="s">
        <v>30</v>
      </c>
      <c r="AA64" s="58">
        <v>12</v>
      </c>
      <c r="AB64" s="58">
        <v>488</v>
      </c>
      <c r="AC64" s="58">
        <v>10</v>
      </c>
      <c r="AD64" s="59" t="s">
        <v>30</v>
      </c>
      <c r="AE64" s="58">
        <v>10</v>
      </c>
      <c r="AF64" s="58">
        <v>400</v>
      </c>
      <c r="AG64" s="59" t="s">
        <v>31</v>
      </c>
      <c r="AH64" s="58">
        <v>6</v>
      </c>
      <c r="AI64" s="58">
        <v>1000</v>
      </c>
      <c r="AJ64" s="59" t="s">
        <v>31</v>
      </c>
      <c r="AK64" s="56" t="s">
        <v>29</v>
      </c>
      <c r="AL64" s="60">
        <v>6.5</v>
      </c>
      <c r="AM64" s="60">
        <v>3.5</v>
      </c>
      <c r="AN64" s="57" t="s">
        <v>29</v>
      </c>
      <c r="AO64" s="57" t="s">
        <v>28</v>
      </c>
      <c r="AP64" s="57" t="s">
        <v>28</v>
      </c>
      <c r="AQ64" s="56" t="s">
        <v>28</v>
      </c>
      <c r="AR64" s="56" t="s">
        <v>29</v>
      </c>
      <c r="AS64" s="56" t="s">
        <v>29</v>
      </c>
      <c r="AT64" s="56" t="s">
        <v>29</v>
      </c>
      <c r="AU64" s="56" t="s">
        <v>29</v>
      </c>
      <c r="AV64" s="56" t="s">
        <v>28</v>
      </c>
      <c r="AW64" s="56" t="s">
        <v>29</v>
      </c>
      <c r="AX64" s="56" t="s">
        <v>28</v>
      </c>
      <c r="AY64" s="56" t="s">
        <v>28</v>
      </c>
      <c r="AZ64" s="58">
        <v>140</v>
      </c>
      <c r="BA64" s="59" t="s">
        <v>30</v>
      </c>
      <c r="BB64" s="81">
        <v>6400</v>
      </c>
      <c r="BC64" s="59" t="s">
        <v>31</v>
      </c>
      <c r="BD64" s="38">
        <f t="shared" si="11"/>
        <v>45714.285714285717</v>
      </c>
      <c r="BE64" s="46">
        <v>3.4</v>
      </c>
      <c r="BF64" s="59" t="s">
        <v>30</v>
      </c>
      <c r="BG64" s="57" t="s">
        <v>29</v>
      </c>
      <c r="BH64" s="45">
        <f>P64/100*44*12.86</f>
        <v>43910.089344</v>
      </c>
      <c r="BI64" s="45">
        <f>P64/100*44*25.73</f>
        <v>87854.323392000006</v>
      </c>
      <c r="BJ64" s="45">
        <v>59547.738249999995</v>
      </c>
      <c r="BK64" s="86">
        <f t="shared" si="7"/>
        <v>191312.15098599999</v>
      </c>
      <c r="BL64" s="46">
        <f t="shared" si="12"/>
        <v>1.8130499999999998</v>
      </c>
      <c r="BM64" s="90">
        <f t="shared" si="8"/>
        <v>5.21305</v>
      </c>
      <c r="BN64" s="61" t="s">
        <v>270</v>
      </c>
      <c r="BO64" s="61" t="s">
        <v>32</v>
      </c>
    </row>
    <row r="65" spans="1:67" s="54" customFormat="1" ht="30">
      <c r="A65" s="55" t="s">
        <v>75</v>
      </c>
      <c r="B65" s="56" t="s">
        <v>27</v>
      </c>
      <c r="C65" s="62" t="s">
        <v>371</v>
      </c>
      <c r="D65" s="37" t="s">
        <v>377</v>
      </c>
      <c r="E65" s="57" t="s">
        <v>28</v>
      </c>
      <c r="F65" s="57" t="s">
        <v>28</v>
      </c>
      <c r="G65" s="57" t="s">
        <v>29</v>
      </c>
      <c r="H65" s="57" t="s">
        <v>28</v>
      </c>
      <c r="I65" s="57" t="s">
        <v>28</v>
      </c>
      <c r="J65" s="57" t="s">
        <v>28</v>
      </c>
      <c r="K65" s="58"/>
      <c r="L65" s="58">
        <v>5319</v>
      </c>
      <c r="M65" s="57" t="s">
        <v>30</v>
      </c>
      <c r="N65" s="58">
        <v>4419</v>
      </c>
      <c r="O65" s="59" t="s">
        <v>30</v>
      </c>
      <c r="P65" s="58">
        <f>L65/100*75</f>
        <v>3989.25</v>
      </c>
      <c r="Q65" s="58">
        <v>900</v>
      </c>
      <c r="R65" s="57" t="s">
        <v>31</v>
      </c>
      <c r="S65" s="56" t="s">
        <v>76</v>
      </c>
      <c r="T65" s="57" t="s">
        <v>29</v>
      </c>
      <c r="U65" s="58"/>
      <c r="V65" s="57" t="s">
        <v>29</v>
      </c>
      <c r="W65" s="58"/>
      <c r="X65" s="58">
        <v>9</v>
      </c>
      <c r="Y65" s="58">
        <v>900</v>
      </c>
      <c r="Z65" s="59" t="s">
        <v>31</v>
      </c>
      <c r="AA65" s="58">
        <v>2</v>
      </c>
      <c r="AB65" s="58">
        <v>70</v>
      </c>
      <c r="AC65" s="58">
        <v>9</v>
      </c>
      <c r="AD65" s="59" t="s">
        <v>30</v>
      </c>
      <c r="AE65" s="58"/>
      <c r="AF65" s="58"/>
      <c r="AG65" s="59"/>
      <c r="AH65" s="58"/>
      <c r="AI65" s="58"/>
      <c r="AJ65" s="59" t="s">
        <v>32</v>
      </c>
      <c r="AK65" s="56" t="s">
        <v>29</v>
      </c>
      <c r="AL65" s="60">
        <v>2</v>
      </c>
      <c r="AM65" s="60">
        <v>1</v>
      </c>
      <c r="AN65" s="57" t="s">
        <v>29</v>
      </c>
      <c r="AO65" s="57" t="s">
        <v>28</v>
      </c>
      <c r="AP65" s="57" t="s">
        <v>28</v>
      </c>
      <c r="AQ65" s="56" t="s">
        <v>28</v>
      </c>
      <c r="AR65" s="56" t="s">
        <v>28</v>
      </c>
      <c r="AS65" s="56" t="s">
        <v>28</v>
      </c>
      <c r="AT65" s="56" t="s">
        <v>29</v>
      </c>
      <c r="AU65" s="56" t="s">
        <v>28</v>
      </c>
      <c r="AV65" s="56" t="s">
        <v>28</v>
      </c>
      <c r="AW65" s="56" t="s">
        <v>29</v>
      </c>
      <c r="AX65" s="56" t="s">
        <v>28</v>
      </c>
      <c r="AY65" s="56" t="s">
        <v>28</v>
      </c>
      <c r="AZ65" s="58">
        <v>28</v>
      </c>
      <c r="BA65" s="59" t="s">
        <v>30</v>
      </c>
      <c r="BB65" s="81">
        <v>5782</v>
      </c>
      <c r="BC65" s="59" t="s">
        <v>31</v>
      </c>
      <c r="BD65" s="38">
        <f t="shared" si="11"/>
        <v>41300</v>
      </c>
      <c r="BE65" s="46">
        <v>0</v>
      </c>
      <c r="BF65" s="59" t="s">
        <v>30</v>
      </c>
      <c r="BG65" s="57" t="s">
        <v>28</v>
      </c>
      <c r="BH65" s="45">
        <f>P65/100*47*12.86</f>
        <v>24111.824849999997</v>
      </c>
      <c r="BI65" s="45">
        <f>P65/100*47*23.73</f>
        <v>44492.504175000002</v>
      </c>
      <c r="BJ65" s="45">
        <v>17268.168750000001</v>
      </c>
      <c r="BK65" s="86">
        <f t="shared" si="7"/>
        <v>85872.497774999996</v>
      </c>
      <c r="BL65" s="46">
        <f t="shared" si="12"/>
        <v>0</v>
      </c>
      <c r="BM65" s="90">
        <f t="shared" si="8"/>
        <v>0</v>
      </c>
      <c r="BN65" s="61" t="s">
        <v>37</v>
      </c>
      <c r="BO65" s="61" t="s">
        <v>28</v>
      </c>
    </row>
    <row r="66" spans="1:67" s="54" customFormat="1" ht="30">
      <c r="A66" s="55" t="s">
        <v>118</v>
      </c>
      <c r="B66" s="56" t="s">
        <v>27</v>
      </c>
      <c r="C66" s="62" t="s">
        <v>371</v>
      </c>
      <c r="D66" s="37" t="s">
        <v>377</v>
      </c>
      <c r="E66" s="57" t="s">
        <v>28</v>
      </c>
      <c r="F66" s="57" t="s">
        <v>29</v>
      </c>
      <c r="G66" s="57" t="s">
        <v>28</v>
      </c>
      <c r="H66" s="57" t="s">
        <v>28</v>
      </c>
      <c r="I66" s="57" t="s">
        <v>28</v>
      </c>
      <c r="J66" s="57" t="s">
        <v>28</v>
      </c>
      <c r="K66" s="58">
        <v>740</v>
      </c>
      <c r="L66" s="58">
        <v>9731</v>
      </c>
      <c r="M66" s="57" t="s">
        <v>30</v>
      </c>
      <c r="N66" s="58">
        <v>7423</v>
      </c>
      <c r="O66" s="59" t="s">
        <v>30</v>
      </c>
      <c r="P66" s="58">
        <f>L66/100*75</f>
        <v>7298.25</v>
      </c>
      <c r="Q66" s="58">
        <v>2308</v>
      </c>
      <c r="R66" s="57" t="s">
        <v>30</v>
      </c>
      <c r="S66" s="56" t="s">
        <v>119</v>
      </c>
      <c r="T66" s="57" t="s">
        <v>29</v>
      </c>
      <c r="U66" s="58"/>
      <c r="V66" s="57" t="s">
        <v>29</v>
      </c>
      <c r="W66" s="58">
        <v>100</v>
      </c>
      <c r="X66" s="58">
        <v>2</v>
      </c>
      <c r="Y66" s="58">
        <v>30</v>
      </c>
      <c r="Z66" s="59" t="s">
        <v>31</v>
      </c>
      <c r="AA66" s="58">
        <v>2</v>
      </c>
      <c r="AB66" s="58">
        <v>60</v>
      </c>
      <c r="AC66" s="58">
        <v>2</v>
      </c>
      <c r="AD66" s="59" t="s">
        <v>31</v>
      </c>
      <c r="AE66" s="58">
        <v>3</v>
      </c>
      <c r="AF66" s="58">
        <v>45</v>
      </c>
      <c r="AG66" s="59" t="s">
        <v>31</v>
      </c>
      <c r="AH66" s="58">
        <v>0</v>
      </c>
      <c r="AI66" s="58"/>
      <c r="AJ66" s="59" t="s">
        <v>30</v>
      </c>
      <c r="AK66" s="56" t="s">
        <v>28</v>
      </c>
      <c r="AL66" s="60"/>
      <c r="AM66" s="60"/>
      <c r="AN66" s="57" t="s">
        <v>29</v>
      </c>
      <c r="AO66" s="57" t="s">
        <v>28</v>
      </c>
      <c r="AP66" s="57" t="s">
        <v>28</v>
      </c>
      <c r="AQ66" s="56" t="s">
        <v>28</v>
      </c>
      <c r="AR66" s="56" t="s">
        <v>28</v>
      </c>
      <c r="AS66" s="56" t="s">
        <v>28</v>
      </c>
      <c r="AT66" s="56" t="s">
        <v>28</v>
      </c>
      <c r="AU66" s="56" t="s">
        <v>28</v>
      </c>
      <c r="AV66" s="56" t="s">
        <v>28</v>
      </c>
      <c r="AW66" s="56" t="s">
        <v>28</v>
      </c>
      <c r="AX66" s="56" t="s">
        <v>120</v>
      </c>
      <c r="AY66" s="56" t="s">
        <v>28</v>
      </c>
      <c r="AZ66" s="58">
        <v>41</v>
      </c>
      <c r="BA66" s="59" t="s">
        <v>30</v>
      </c>
      <c r="BB66" s="81">
        <v>740</v>
      </c>
      <c r="BC66" s="59" t="s">
        <v>31</v>
      </c>
      <c r="BD66" s="38">
        <f t="shared" si="11"/>
        <v>5285.7142857142853</v>
      </c>
      <c r="BE66" s="46">
        <v>0</v>
      </c>
      <c r="BF66" s="59" t="s">
        <v>30</v>
      </c>
      <c r="BG66" s="57" t="s">
        <v>73</v>
      </c>
      <c r="BH66" s="45">
        <f>P66/100*47*12.86</f>
        <v>44112.082650000004</v>
      </c>
      <c r="BI66" s="45">
        <f>P66/100*47*23.73</f>
        <v>81398.112075000012</v>
      </c>
      <c r="BJ66" s="45">
        <v>5123.4767499999998</v>
      </c>
      <c r="BK66" s="86">
        <f t="shared" si="7"/>
        <v>130633.67147500001</v>
      </c>
      <c r="BL66" s="46">
        <f t="shared" si="12"/>
        <v>0</v>
      </c>
      <c r="BM66" s="90">
        <f t="shared" si="8"/>
        <v>0</v>
      </c>
      <c r="BN66" s="61" t="s">
        <v>121</v>
      </c>
      <c r="BO66" s="61" t="s">
        <v>122</v>
      </c>
    </row>
    <row r="67" spans="1:67" s="54" customFormat="1" ht="195">
      <c r="A67" s="55" t="s">
        <v>245</v>
      </c>
      <c r="B67" s="56" t="s">
        <v>42</v>
      </c>
      <c r="C67" s="36" t="s">
        <v>372</v>
      </c>
      <c r="D67" s="37" t="s">
        <v>377</v>
      </c>
      <c r="E67" s="57" t="s">
        <v>29</v>
      </c>
      <c r="F67" s="57" t="s">
        <v>28</v>
      </c>
      <c r="G67" s="57" t="s">
        <v>28</v>
      </c>
      <c r="H67" s="57" t="s">
        <v>28</v>
      </c>
      <c r="I67" s="57" t="s">
        <v>28</v>
      </c>
      <c r="J67" s="57" t="s">
        <v>28</v>
      </c>
      <c r="K67" s="58">
        <v>1262</v>
      </c>
      <c r="L67" s="58">
        <v>5088</v>
      </c>
      <c r="M67" s="57" t="s">
        <v>30</v>
      </c>
      <c r="N67" s="58">
        <v>3680</v>
      </c>
      <c r="O67" s="59" t="s">
        <v>30</v>
      </c>
      <c r="P67" s="58">
        <f>L67/100*75</f>
        <v>3816</v>
      </c>
      <c r="Q67" s="58">
        <v>1408</v>
      </c>
      <c r="R67" s="57" t="s">
        <v>30</v>
      </c>
      <c r="S67" s="56" t="s">
        <v>50</v>
      </c>
      <c r="T67" s="57" t="s">
        <v>29</v>
      </c>
      <c r="U67" s="58">
        <v>12984</v>
      </c>
      <c r="V67" s="57" t="s">
        <v>29</v>
      </c>
      <c r="W67" s="58">
        <v>60517</v>
      </c>
      <c r="X67" s="58">
        <v>3</v>
      </c>
      <c r="Y67" s="58">
        <v>92</v>
      </c>
      <c r="Z67" s="59" t="s">
        <v>30</v>
      </c>
      <c r="AA67" s="58">
        <v>110</v>
      </c>
      <c r="AB67" s="58">
        <v>4806</v>
      </c>
      <c r="AC67" s="58">
        <v>36</v>
      </c>
      <c r="AD67" s="59" t="s">
        <v>30</v>
      </c>
      <c r="AE67" s="58">
        <v>17</v>
      </c>
      <c r="AF67" s="58">
        <v>938</v>
      </c>
      <c r="AG67" s="59" t="s">
        <v>30</v>
      </c>
      <c r="AH67" s="58">
        <v>15</v>
      </c>
      <c r="AI67" s="58">
        <v>1403</v>
      </c>
      <c r="AJ67" s="59" t="s">
        <v>30</v>
      </c>
      <c r="AK67" s="56" t="s">
        <v>28</v>
      </c>
      <c r="AL67" s="60"/>
      <c r="AM67" s="60"/>
      <c r="AN67" s="57" t="s">
        <v>29</v>
      </c>
      <c r="AO67" s="57" t="s">
        <v>29</v>
      </c>
      <c r="AP67" s="57"/>
      <c r="AQ67" s="56" t="s">
        <v>29</v>
      </c>
      <c r="AR67" s="56" t="s">
        <v>29</v>
      </c>
      <c r="AS67" s="56" t="s">
        <v>28</v>
      </c>
      <c r="AT67" s="56" t="s">
        <v>28</v>
      </c>
      <c r="AU67" s="56" t="s">
        <v>28</v>
      </c>
      <c r="AV67" s="56" t="s">
        <v>28</v>
      </c>
      <c r="AW67" s="56" t="s">
        <v>28</v>
      </c>
      <c r="AX67" s="61" t="s">
        <v>453</v>
      </c>
      <c r="AY67" s="56" t="s">
        <v>28</v>
      </c>
      <c r="AZ67" s="58">
        <v>13</v>
      </c>
      <c r="BA67" s="59" t="s">
        <v>30</v>
      </c>
      <c r="BB67" s="81">
        <v>200</v>
      </c>
      <c r="BC67" s="59" t="s">
        <v>31</v>
      </c>
      <c r="BD67" s="38">
        <f t="shared" si="11"/>
        <v>1428.5714285714287</v>
      </c>
      <c r="BE67" s="46"/>
      <c r="BF67" s="59" t="s">
        <v>30</v>
      </c>
      <c r="BG67" s="57" t="s">
        <v>29</v>
      </c>
      <c r="BH67" s="45">
        <f>P67/100*47*11.29</f>
        <v>20248.840799999994</v>
      </c>
      <c r="BI67" s="45">
        <f>P67/100*47*22.59</f>
        <v>40515.616799999996</v>
      </c>
      <c r="BJ67" s="45">
        <v>43023.75</v>
      </c>
      <c r="BK67" s="86">
        <f t="shared" ref="BK67:BK98" si="13">BH67+BI67+BJ67</f>
        <v>103788.20759999999</v>
      </c>
      <c r="BL67" s="46">
        <f t="shared" si="12"/>
        <v>0</v>
      </c>
      <c r="BM67" s="90">
        <f t="shared" ref="BM67:BM98" si="14">SUBTOTAL(9,BE67,BL67)</f>
        <v>0</v>
      </c>
      <c r="BN67" s="61" t="s">
        <v>243</v>
      </c>
      <c r="BO67" s="61" t="s">
        <v>246</v>
      </c>
    </row>
    <row r="68" spans="1:67" s="54" customFormat="1" ht="45">
      <c r="A68" s="55" t="s">
        <v>350</v>
      </c>
      <c r="B68" s="56" t="s">
        <v>42</v>
      </c>
      <c r="C68" s="36" t="s">
        <v>369</v>
      </c>
      <c r="D68" s="37" t="s">
        <v>375</v>
      </c>
      <c r="E68" s="57" t="s">
        <v>29</v>
      </c>
      <c r="F68" s="57" t="s">
        <v>28</v>
      </c>
      <c r="G68" s="57" t="s">
        <v>28</v>
      </c>
      <c r="H68" s="57" t="s">
        <v>28</v>
      </c>
      <c r="I68" s="57" t="s">
        <v>28</v>
      </c>
      <c r="J68" s="57" t="s">
        <v>28</v>
      </c>
      <c r="K68" s="58">
        <v>1909</v>
      </c>
      <c r="L68" s="58">
        <v>16403</v>
      </c>
      <c r="M68" s="57" t="s">
        <v>30</v>
      </c>
      <c r="N68" s="58">
        <v>11908</v>
      </c>
      <c r="O68" s="59" t="s">
        <v>31</v>
      </c>
      <c r="P68" s="58">
        <f>L68/100*72</f>
        <v>11810.16</v>
      </c>
      <c r="Q68" s="58">
        <v>4495</v>
      </c>
      <c r="R68" s="57" t="s">
        <v>31</v>
      </c>
      <c r="S68" s="56" t="s">
        <v>347</v>
      </c>
      <c r="T68" s="57" t="s">
        <v>29</v>
      </c>
      <c r="U68" s="58">
        <v>8036</v>
      </c>
      <c r="V68" s="57" t="s">
        <v>29</v>
      </c>
      <c r="W68" s="58">
        <v>2678</v>
      </c>
      <c r="X68" s="58">
        <v>72</v>
      </c>
      <c r="Y68" s="58">
        <v>1737</v>
      </c>
      <c r="Z68" s="59" t="s">
        <v>31</v>
      </c>
      <c r="AA68" s="58">
        <v>0</v>
      </c>
      <c r="AB68" s="58">
        <v>0</v>
      </c>
      <c r="AC68" s="58"/>
      <c r="AD68" s="59" t="s">
        <v>31</v>
      </c>
      <c r="AE68" s="58">
        <v>80</v>
      </c>
      <c r="AF68" s="58">
        <v>2765</v>
      </c>
      <c r="AG68" s="59" t="s">
        <v>31</v>
      </c>
      <c r="AH68" s="58">
        <v>1</v>
      </c>
      <c r="AI68" s="58">
        <v>124</v>
      </c>
      <c r="AJ68" s="59" t="s">
        <v>31</v>
      </c>
      <c r="AK68" s="56" t="s">
        <v>29</v>
      </c>
      <c r="AL68" s="60">
        <v>4.3499999999999996</v>
      </c>
      <c r="AM68" s="60">
        <v>3.5</v>
      </c>
      <c r="AN68" s="57" t="s">
        <v>29</v>
      </c>
      <c r="AO68" s="57" t="s">
        <v>28</v>
      </c>
      <c r="AP68" s="57" t="s">
        <v>28</v>
      </c>
      <c r="AQ68" s="56" t="s">
        <v>28</v>
      </c>
      <c r="AR68" s="56" t="s">
        <v>28</v>
      </c>
      <c r="AS68" s="56" t="s">
        <v>28</v>
      </c>
      <c r="AT68" s="56" t="s">
        <v>29</v>
      </c>
      <c r="AU68" s="56" t="s">
        <v>29</v>
      </c>
      <c r="AV68" s="56" t="s">
        <v>28</v>
      </c>
      <c r="AW68" s="56" t="s">
        <v>28</v>
      </c>
      <c r="AX68" s="56" t="s">
        <v>28</v>
      </c>
      <c r="AY68" s="56" t="s">
        <v>28</v>
      </c>
      <c r="AZ68" s="58">
        <v>7</v>
      </c>
      <c r="BA68" s="59" t="s">
        <v>30</v>
      </c>
      <c r="BB68" s="81">
        <v>1658</v>
      </c>
      <c r="BC68" s="59" t="s">
        <v>30</v>
      </c>
      <c r="BD68" s="38">
        <f t="shared" si="11"/>
        <v>11842.857142857143</v>
      </c>
      <c r="BE68" s="46">
        <v>4.21</v>
      </c>
      <c r="BF68" s="59" t="s">
        <v>30</v>
      </c>
      <c r="BG68" s="57" t="s">
        <v>29</v>
      </c>
      <c r="BH68" s="45">
        <f>P68/100*44*14.08</f>
        <v>73166.303232000006</v>
      </c>
      <c r="BI68" s="45">
        <f>P68/100*44*28.16</f>
        <v>146332.60646400001</v>
      </c>
      <c r="BJ68" s="45">
        <v>68802.798750000002</v>
      </c>
      <c r="BK68" s="86">
        <f t="shared" si="13"/>
        <v>288301.708446</v>
      </c>
      <c r="BL68" s="46">
        <f t="shared" si="12"/>
        <v>2.2449825000000003</v>
      </c>
      <c r="BM68" s="90">
        <f t="shared" si="14"/>
        <v>6.4549824999999998</v>
      </c>
      <c r="BN68" s="61" t="s">
        <v>32</v>
      </c>
      <c r="BO68" s="61" t="s">
        <v>32</v>
      </c>
    </row>
    <row r="69" spans="1:67" s="54" customFormat="1" ht="45">
      <c r="A69" s="55" t="s">
        <v>250</v>
      </c>
      <c r="B69" s="56" t="s">
        <v>27</v>
      </c>
      <c r="C69" s="36" t="s">
        <v>373</v>
      </c>
      <c r="D69" s="37" t="s">
        <v>377</v>
      </c>
      <c r="E69" s="57" t="s">
        <v>28</v>
      </c>
      <c r="F69" s="57" t="s">
        <v>29</v>
      </c>
      <c r="G69" s="57" t="s">
        <v>28</v>
      </c>
      <c r="H69" s="57" t="s">
        <v>28</v>
      </c>
      <c r="I69" s="57" t="s">
        <v>28</v>
      </c>
      <c r="J69" s="57" t="s">
        <v>28</v>
      </c>
      <c r="K69" s="58">
        <v>420</v>
      </c>
      <c r="L69" s="58">
        <v>1847</v>
      </c>
      <c r="M69" s="57" t="s">
        <v>30</v>
      </c>
      <c r="N69" s="58">
        <v>1633</v>
      </c>
      <c r="O69" s="59" t="s">
        <v>30</v>
      </c>
      <c r="P69" s="58">
        <f>L69/100*75</f>
        <v>1385.25</v>
      </c>
      <c r="Q69" s="58">
        <v>214</v>
      </c>
      <c r="R69" s="57" t="s">
        <v>30</v>
      </c>
      <c r="S69" s="56" t="s">
        <v>50</v>
      </c>
      <c r="T69" s="57" t="s">
        <v>29</v>
      </c>
      <c r="U69" s="58">
        <v>3000</v>
      </c>
      <c r="V69" s="57" t="s">
        <v>29</v>
      </c>
      <c r="W69" s="58">
        <v>1490</v>
      </c>
      <c r="X69" s="58">
        <v>0</v>
      </c>
      <c r="Y69" s="58">
        <v>0</v>
      </c>
      <c r="Z69" s="59" t="s">
        <v>30</v>
      </c>
      <c r="AA69" s="58">
        <v>0</v>
      </c>
      <c r="AB69" s="58">
        <v>0</v>
      </c>
      <c r="AC69" s="58">
        <v>0</v>
      </c>
      <c r="AD69" s="59" t="s">
        <v>30</v>
      </c>
      <c r="AE69" s="58">
        <v>6</v>
      </c>
      <c r="AF69" s="58">
        <v>90</v>
      </c>
      <c r="AG69" s="59" t="s">
        <v>30</v>
      </c>
      <c r="AH69" s="58">
        <v>0</v>
      </c>
      <c r="AI69" s="58">
        <v>0</v>
      </c>
      <c r="AJ69" s="59" t="s">
        <v>30</v>
      </c>
      <c r="AK69" s="56" t="s">
        <v>29</v>
      </c>
      <c r="AL69" s="60">
        <v>2</v>
      </c>
      <c r="AM69" s="60">
        <v>0.5</v>
      </c>
      <c r="AN69" s="57" t="s">
        <v>29</v>
      </c>
      <c r="AO69" s="57" t="s">
        <v>28</v>
      </c>
      <c r="AP69" s="57" t="s">
        <v>28</v>
      </c>
      <c r="AQ69" s="56" t="s">
        <v>28</v>
      </c>
      <c r="AR69" s="56" t="s">
        <v>28</v>
      </c>
      <c r="AS69" s="56" t="s">
        <v>28</v>
      </c>
      <c r="AT69" s="56" t="s">
        <v>29</v>
      </c>
      <c r="AU69" s="56" t="s">
        <v>29</v>
      </c>
      <c r="AV69" s="56" t="s">
        <v>28</v>
      </c>
      <c r="AW69" s="56" t="s">
        <v>28</v>
      </c>
      <c r="AX69" s="56" t="s">
        <v>28</v>
      </c>
      <c r="AY69" s="56" t="s">
        <v>28</v>
      </c>
      <c r="AZ69" s="58">
        <v>40</v>
      </c>
      <c r="BA69" s="59" t="s">
        <v>30</v>
      </c>
      <c r="BB69" s="81">
        <v>1370</v>
      </c>
      <c r="BC69" s="59" t="s">
        <v>30</v>
      </c>
      <c r="BD69" s="38">
        <f t="shared" si="11"/>
        <v>9785.7142857142862</v>
      </c>
      <c r="BE69" s="46">
        <v>0</v>
      </c>
      <c r="BF69" s="59" t="s">
        <v>30</v>
      </c>
      <c r="BG69" s="57" t="s">
        <v>28</v>
      </c>
      <c r="BH69" s="45">
        <f>P69/100*47*12.91</f>
        <v>8405.2814249999992</v>
      </c>
      <c r="BI69" s="45">
        <f>P69/100*47*25.82</f>
        <v>16810.562849999998</v>
      </c>
      <c r="BJ69" s="45">
        <v>4371.8648750000002</v>
      </c>
      <c r="BK69" s="86">
        <f t="shared" si="13"/>
        <v>29587.709149999995</v>
      </c>
      <c r="BL69" s="46">
        <f t="shared" si="12"/>
        <v>0</v>
      </c>
      <c r="BM69" s="90">
        <f t="shared" si="14"/>
        <v>0</v>
      </c>
      <c r="BN69" s="61" t="s">
        <v>251</v>
      </c>
      <c r="BO69" s="61" t="s">
        <v>252</v>
      </c>
    </row>
    <row r="70" spans="1:67" s="54" customFormat="1" ht="30">
      <c r="A70" s="55" t="s">
        <v>398</v>
      </c>
      <c r="B70" s="56" t="s">
        <v>27</v>
      </c>
      <c r="C70" s="36" t="s">
        <v>370</v>
      </c>
      <c r="D70" s="37" t="s">
        <v>377</v>
      </c>
      <c r="E70" s="57" t="s">
        <v>29</v>
      </c>
      <c r="F70" s="57" t="s">
        <v>28</v>
      </c>
      <c r="G70" s="57" t="s">
        <v>28</v>
      </c>
      <c r="H70" s="57" t="s">
        <v>28</v>
      </c>
      <c r="I70" s="57" t="s">
        <v>28</v>
      </c>
      <c r="J70" s="57" t="s">
        <v>28</v>
      </c>
      <c r="K70" s="58">
        <v>530</v>
      </c>
      <c r="L70" s="58">
        <v>3600</v>
      </c>
      <c r="M70" s="57" t="s">
        <v>30</v>
      </c>
      <c r="N70" s="58"/>
      <c r="O70" s="59"/>
      <c r="P70" s="58">
        <f>L70/100*75</f>
        <v>2700</v>
      </c>
      <c r="Q70" s="58"/>
      <c r="R70" s="57"/>
      <c r="S70" s="56" t="s">
        <v>28</v>
      </c>
      <c r="T70" s="57" t="s">
        <v>29</v>
      </c>
      <c r="U70" s="58"/>
      <c r="V70" s="57" t="s">
        <v>29</v>
      </c>
      <c r="W70" s="58">
        <v>220</v>
      </c>
      <c r="X70" s="58">
        <v>8</v>
      </c>
      <c r="Y70" s="58">
        <v>220</v>
      </c>
      <c r="Z70" s="59" t="s">
        <v>30</v>
      </c>
      <c r="AA70" s="58">
        <v>10</v>
      </c>
      <c r="AB70" s="58"/>
      <c r="AC70" s="58">
        <v>6</v>
      </c>
      <c r="AD70" s="59" t="s">
        <v>30</v>
      </c>
      <c r="AE70" s="58">
        <v>10</v>
      </c>
      <c r="AF70" s="58"/>
      <c r="AG70" s="59" t="s">
        <v>30</v>
      </c>
      <c r="AH70" s="58">
        <v>11</v>
      </c>
      <c r="AI70" s="58"/>
      <c r="AJ70" s="59" t="s">
        <v>30</v>
      </c>
      <c r="AK70" s="56" t="s">
        <v>28</v>
      </c>
      <c r="AL70" s="60"/>
      <c r="AM70" s="60"/>
      <c r="AN70" s="57" t="s">
        <v>28</v>
      </c>
      <c r="AO70" s="57" t="s">
        <v>28</v>
      </c>
      <c r="AP70" s="57" t="s">
        <v>28</v>
      </c>
      <c r="AQ70" s="56" t="s">
        <v>28</v>
      </c>
      <c r="AR70" s="56" t="s">
        <v>28</v>
      </c>
      <c r="AS70" s="56" t="s">
        <v>28</v>
      </c>
      <c r="AT70" s="56" t="s">
        <v>29</v>
      </c>
      <c r="AU70" s="56" t="s">
        <v>29</v>
      </c>
      <c r="AV70" s="56" t="s">
        <v>29</v>
      </c>
      <c r="AW70" s="56" t="s">
        <v>29</v>
      </c>
      <c r="AX70" s="56" t="s">
        <v>28</v>
      </c>
      <c r="AY70" s="56" t="s">
        <v>28</v>
      </c>
      <c r="AZ70" s="58">
        <v>34</v>
      </c>
      <c r="BA70" s="59" t="s">
        <v>31</v>
      </c>
      <c r="BB70" s="81">
        <v>4000</v>
      </c>
      <c r="BC70" s="59" t="s">
        <v>31</v>
      </c>
      <c r="BD70" s="38">
        <f t="shared" si="11"/>
        <v>28571.428571428572</v>
      </c>
      <c r="BE70" s="46">
        <v>0</v>
      </c>
      <c r="BF70" s="59" t="s">
        <v>30</v>
      </c>
      <c r="BG70" s="57" t="s">
        <v>28</v>
      </c>
      <c r="BH70" s="45">
        <f>P70/100*47*17.99</f>
        <v>22829.309999999998</v>
      </c>
      <c r="BI70" s="45">
        <f>P70/100*47*35.98</f>
        <v>45658.619999999995</v>
      </c>
      <c r="BJ70" s="45">
        <v>21903</v>
      </c>
      <c r="BK70" s="86">
        <f t="shared" si="13"/>
        <v>90390.93</v>
      </c>
      <c r="BL70" s="46">
        <f t="shared" si="12"/>
        <v>0</v>
      </c>
      <c r="BM70" s="90">
        <f t="shared" si="14"/>
        <v>0</v>
      </c>
      <c r="BN70" s="61" t="s">
        <v>87</v>
      </c>
      <c r="BO70" s="61" t="s">
        <v>88</v>
      </c>
    </row>
    <row r="71" spans="1:67" s="54" customFormat="1" ht="83.25" customHeight="1">
      <c r="A71" s="55" t="s">
        <v>209</v>
      </c>
      <c r="B71" s="56" t="s">
        <v>27</v>
      </c>
      <c r="C71" s="36" t="s">
        <v>373</v>
      </c>
      <c r="D71" s="37" t="s">
        <v>377</v>
      </c>
      <c r="E71" s="57" t="s">
        <v>28</v>
      </c>
      <c r="F71" s="57" t="s">
        <v>29</v>
      </c>
      <c r="G71" s="57" t="s">
        <v>28</v>
      </c>
      <c r="H71" s="57" t="s">
        <v>28</v>
      </c>
      <c r="I71" s="57" t="s">
        <v>28</v>
      </c>
      <c r="J71" s="57" t="s">
        <v>28</v>
      </c>
      <c r="K71" s="58">
        <v>320</v>
      </c>
      <c r="L71" s="58">
        <v>2746</v>
      </c>
      <c r="M71" s="57" t="s">
        <v>30</v>
      </c>
      <c r="N71" s="58">
        <v>2275</v>
      </c>
      <c r="O71" s="59" t="s">
        <v>30</v>
      </c>
      <c r="P71" s="58">
        <f>L71/100*75</f>
        <v>2059.5</v>
      </c>
      <c r="Q71" s="58">
        <v>471</v>
      </c>
      <c r="R71" s="57" t="s">
        <v>30</v>
      </c>
      <c r="S71" s="56" t="s">
        <v>50</v>
      </c>
      <c r="T71" s="57" t="s">
        <v>29</v>
      </c>
      <c r="U71" s="58">
        <v>62230</v>
      </c>
      <c r="V71" s="57" t="s">
        <v>29</v>
      </c>
      <c r="W71" s="58">
        <v>351</v>
      </c>
      <c r="X71" s="58">
        <v>3</v>
      </c>
      <c r="Y71" s="58">
        <v>145</v>
      </c>
      <c r="Z71" s="59" t="s">
        <v>30</v>
      </c>
      <c r="AA71" s="58">
        <v>0</v>
      </c>
      <c r="AB71" s="58">
        <v>0</v>
      </c>
      <c r="AC71" s="58">
        <v>3</v>
      </c>
      <c r="AD71" s="59" t="s">
        <v>30</v>
      </c>
      <c r="AE71" s="58">
        <v>7</v>
      </c>
      <c r="AF71" s="58">
        <v>150</v>
      </c>
      <c r="AG71" s="59" t="s">
        <v>31</v>
      </c>
      <c r="AH71" s="58">
        <v>5</v>
      </c>
      <c r="AI71" s="58">
        <v>100</v>
      </c>
      <c r="AJ71" s="59" t="s">
        <v>31</v>
      </c>
      <c r="AK71" s="56" t="s">
        <v>29</v>
      </c>
      <c r="AL71" s="60">
        <v>1</v>
      </c>
      <c r="AM71" s="60">
        <v>0.5</v>
      </c>
      <c r="AN71" s="57" t="s">
        <v>29</v>
      </c>
      <c r="AO71" s="57" t="s">
        <v>28</v>
      </c>
      <c r="AP71" s="57" t="s">
        <v>28</v>
      </c>
      <c r="AQ71" s="56" t="s">
        <v>28</v>
      </c>
      <c r="AR71" s="56" t="s">
        <v>28</v>
      </c>
      <c r="AS71" s="56" t="s">
        <v>28</v>
      </c>
      <c r="AT71" s="56" t="s">
        <v>29</v>
      </c>
      <c r="AU71" s="56" t="s">
        <v>29</v>
      </c>
      <c r="AV71" s="56" t="s">
        <v>28</v>
      </c>
      <c r="AW71" s="56" t="s">
        <v>28</v>
      </c>
      <c r="AX71" s="56" t="s">
        <v>28</v>
      </c>
      <c r="AY71" s="56" t="s">
        <v>28</v>
      </c>
      <c r="AZ71" s="58">
        <v>40</v>
      </c>
      <c r="BA71" s="59" t="s">
        <v>31</v>
      </c>
      <c r="BB71" s="81" t="s">
        <v>210</v>
      </c>
      <c r="BC71" s="59" t="s">
        <v>32</v>
      </c>
      <c r="BD71" s="38"/>
      <c r="BE71" s="46">
        <v>0</v>
      </c>
      <c r="BF71" s="59" t="s">
        <v>30</v>
      </c>
      <c r="BG71" s="57" t="s">
        <v>28</v>
      </c>
      <c r="BH71" s="45">
        <f>P71/100*47*12.91</f>
        <v>12496.42815</v>
      </c>
      <c r="BI71" s="45">
        <f>P71/100*47*25.82</f>
        <v>24992.856299999999</v>
      </c>
      <c r="BJ71" s="45">
        <v>10847.199999999999</v>
      </c>
      <c r="BK71" s="86">
        <f t="shared" si="13"/>
        <v>48336.484449999996</v>
      </c>
      <c r="BL71" s="46">
        <f t="shared" si="12"/>
        <v>0</v>
      </c>
      <c r="BM71" s="90">
        <f t="shared" si="14"/>
        <v>0</v>
      </c>
      <c r="BN71" s="61" t="s">
        <v>50</v>
      </c>
      <c r="BO71" s="61" t="s">
        <v>211</v>
      </c>
    </row>
    <row r="72" spans="1:67" s="54" customFormat="1" ht="60">
      <c r="A72" s="55" t="s">
        <v>323</v>
      </c>
      <c r="B72" s="56" t="s">
        <v>27</v>
      </c>
      <c r="C72" s="36" t="s">
        <v>369</v>
      </c>
      <c r="D72" s="37" t="s">
        <v>375</v>
      </c>
      <c r="E72" s="57" t="s">
        <v>28</v>
      </c>
      <c r="F72" s="57" t="s">
        <v>29</v>
      </c>
      <c r="G72" s="57" t="s">
        <v>28</v>
      </c>
      <c r="H72" s="57" t="s">
        <v>28</v>
      </c>
      <c r="I72" s="57" t="s">
        <v>29</v>
      </c>
      <c r="J72" s="57" t="s">
        <v>28</v>
      </c>
      <c r="K72" s="58">
        <v>1120</v>
      </c>
      <c r="L72" s="58">
        <v>20355</v>
      </c>
      <c r="M72" s="57" t="s">
        <v>30</v>
      </c>
      <c r="N72" s="58">
        <v>17000</v>
      </c>
      <c r="O72" s="59" t="s">
        <v>31</v>
      </c>
      <c r="P72" s="58">
        <f>L72/100*72</f>
        <v>14655.6</v>
      </c>
      <c r="Q72" s="58">
        <v>3300</v>
      </c>
      <c r="R72" s="57" t="s">
        <v>31</v>
      </c>
      <c r="S72" s="56" t="s">
        <v>324</v>
      </c>
      <c r="T72" s="57" t="s">
        <v>28</v>
      </c>
      <c r="U72" s="58"/>
      <c r="V72" s="57" t="s">
        <v>28</v>
      </c>
      <c r="W72" s="58"/>
      <c r="X72" s="58">
        <v>0</v>
      </c>
      <c r="Y72" s="58">
        <v>0</v>
      </c>
      <c r="Z72" s="59" t="s">
        <v>30</v>
      </c>
      <c r="AA72" s="58">
        <v>0</v>
      </c>
      <c r="AB72" s="58">
        <v>0</v>
      </c>
      <c r="AC72" s="58">
        <v>0</v>
      </c>
      <c r="AD72" s="59" t="s">
        <v>30</v>
      </c>
      <c r="AE72" s="58">
        <v>3</v>
      </c>
      <c r="AF72" s="58">
        <v>60</v>
      </c>
      <c r="AG72" s="59" t="s">
        <v>31</v>
      </c>
      <c r="AH72" s="58">
        <v>2</v>
      </c>
      <c r="AI72" s="58">
        <v>68</v>
      </c>
      <c r="AJ72" s="59" t="s">
        <v>30</v>
      </c>
      <c r="AK72" s="56" t="s">
        <v>44</v>
      </c>
      <c r="AL72" s="60"/>
      <c r="AM72" s="60"/>
      <c r="AN72" s="57" t="s">
        <v>29</v>
      </c>
      <c r="AO72" s="57" t="s">
        <v>28</v>
      </c>
      <c r="AP72" s="57" t="s">
        <v>28</v>
      </c>
      <c r="AQ72" s="56" t="s">
        <v>28</v>
      </c>
      <c r="AR72" s="56" t="s">
        <v>28</v>
      </c>
      <c r="AS72" s="56" t="s">
        <v>29</v>
      </c>
      <c r="AT72" s="56" t="s">
        <v>29</v>
      </c>
      <c r="AU72" s="56" t="s">
        <v>28</v>
      </c>
      <c r="AV72" s="56" t="s">
        <v>28</v>
      </c>
      <c r="AW72" s="56" t="s">
        <v>29</v>
      </c>
      <c r="AX72" s="56" t="s">
        <v>28</v>
      </c>
      <c r="AY72" s="56" t="s">
        <v>28</v>
      </c>
      <c r="AZ72" s="58">
        <v>30</v>
      </c>
      <c r="BA72" s="59" t="s">
        <v>30</v>
      </c>
      <c r="BB72" s="81">
        <v>400</v>
      </c>
      <c r="BC72" s="59" t="s">
        <v>31</v>
      </c>
      <c r="BD72" s="38">
        <f>BB72/7*50</f>
        <v>2857.1428571428573</v>
      </c>
      <c r="BE72" s="46">
        <v>0</v>
      </c>
      <c r="BF72" s="59" t="s">
        <v>30</v>
      </c>
      <c r="BG72" s="57" t="s">
        <v>29</v>
      </c>
      <c r="BH72" s="45">
        <f>P72/100*44*14.08</f>
        <v>90794.373120000018</v>
      </c>
      <c r="BI72" s="45">
        <f>P72/100*44*28.16</f>
        <v>181588.74624000004</v>
      </c>
      <c r="BJ72" s="45">
        <v>2077.8254875000002</v>
      </c>
      <c r="BK72" s="86">
        <f t="shared" si="13"/>
        <v>274460.94484750007</v>
      </c>
      <c r="BL72" s="46">
        <f t="shared" si="12"/>
        <v>0</v>
      </c>
      <c r="BM72" s="90">
        <f t="shared" si="14"/>
        <v>0</v>
      </c>
      <c r="BN72" s="61" t="s">
        <v>325</v>
      </c>
      <c r="BO72" s="61" t="s">
        <v>326</v>
      </c>
    </row>
    <row r="73" spans="1:67" s="54" customFormat="1" ht="30">
      <c r="A73" s="55" t="s">
        <v>399</v>
      </c>
      <c r="B73" s="56" t="s">
        <v>27</v>
      </c>
      <c r="C73" s="62" t="s">
        <v>371</v>
      </c>
      <c r="D73" s="37" t="s">
        <v>377</v>
      </c>
      <c r="E73" s="57" t="s">
        <v>28</v>
      </c>
      <c r="F73" s="57" t="s">
        <v>29</v>
      </c>
      <c r="G73" s="57" t="s">
        <v>28</v>
      </c>
      <c r="H73" s="57" t="s">
        <v>28</v>
      </c>
      <c r="I73" s="57" t="s">
        <v>28</v>
      </c>
      <c r="J73" s="57" t="s">
        <v>28</v>
      </c>
      <c r="K73" s="58">
        <v>607.5</v>
      </c>
      <c r="L73" s="58">
        <v>3060</v>
      </c>
      <c r="M73" s="57" t="s">
        <v>30</v>
      </c>
      <c r="N73" s="58">
        <v>2523</v>
      </c>
      <c r="O73" s="59" t="s">
        <v>30</v>
      </c>
      <c r="P73" s="58">
        <f>L73/100*75</f>
        <v>2295</v>
      </c>
      <c r="Q73" s="58">
        <v>537</v>
      </c>
      <c r="R73" s="57" t="s">
        <v>30</v>
      </c>
      <c r="S73" s="56" t="s">
        <v>37</v>
      </c>
      <c r="T73" s="57" t="s">
        <v>29</v>
      </c>
      <c r="U73" s="58"/>
      <c r="V73" s="57" t="s">
        <v>29</v>
      </c>
      <c r="W73" s="58"/>
      <c r="X73" s="58">
        <v>1</v>
      </c>
      <c r="Y73" s="58">
        <v>10</v>
      </c>
      <c r="Z73" s="59" t="s">
        <v>30</v>
      </c>
      <c r="AA73" s="58"/>
      <c r="AB73" s="58"/>
      <c r="AC73" s="58">
        <v>1</v>
      </c>
      <c r="AD73" s="59" t="s">
        <v>30</v>
      </c>
      <c r="AE73" s="58">
        <v>18</v>
      </c>
      <c r="AF73" s="58">
        <v>332</v>
      </c>
      <c r="AG73" s="59" t="s">
        <v>30</v>
      </c>
      <c r="AH73" s="58">
        <v>6</v>
      </c>
      <c r="AI73" s="58">
        <v>174</v>
      </c>
      <c r="AJ73" s="59" t="s">
        <v>30</v>
      </c>
      <c r="AK73" s="56" t="s">
        <v>28</v>
      </c>
      <c r="AL73" s="60"/>
      <c r="AM73" s="60"/>
      <c r="AN73" s="57" t="s">
        <v>29</v>
      </c>
      <c r="AO73" s="57" t="s">
        <v>28</v>
      </c>
      <c r="AP73" s="57" t="s">
        <v>28</v>
      </c>
      <c r="AQ73" s="56" t="s">
        <v>28</v>
      </c>
      <c r="AR73" s="56" t="s">
        <v>28</v>
      </c>
      <c r="AS73" s="56" t="s">
        <v>28</v>
      </c>
      <c r="AT73" s="56" t="s">
        <v>29</v>
      </c>
      <c r="AU73" s="56" t="s">
        <v>28</v>
      </c>
      <c r="AV73" s="56" t="s">
        <v>28</v>
      </c>
      <c r="AW73" s="56" t="s">
        <v>29</v>
      </c>
      <c r="AX73" s="56" t="s">
        <v>28</v>
      </c>
      <c r="AY73" s="56" t="s">
        <v>28</v>
      </c>
      <c r="AZ73" s="58">
        <v>55</v>
      </c>
      <c r="BA73" s="59" t="s">
        <v>30</v>
      </c>
      <c r="BB73" s="81">
        <v>4966</v>
      </c>
      <c r="BC73" s="59" t="s">
        <v>30</v>
      </c>
      <c r="BD73" s="38">
        <f>BB73/7*50</f>
        <v>35471.428571428572</v>
      </c>
      <c r="BE73" s="46">
        <v>0</v>
      </c>
      <c r="BF73" s="59" t="s">
        <v>30</v>
      </c>
      <c r="BG73" s="57" t="s">
        <v>73</v>
      </c>
      <c r="BH73" s="45">
        <f>P73/100*47*12.86</f>
        <v>13871.438999999998</v>
      </c>
      <c r="BI73" s="45">
        <f>P73/100*47*23.73</f>
        <v>25596.364499999996</v>
      </c>
      <c r="BJ73" s="45">
        <v>5606.125</v>
      </c>
      <c r="BK73" s="86">
        <f t="shared" si="13"/>
        <v>45073.928499999995</v>
      </c>
      <c r="BL73" s="46">
        <f t="shared" si="12"/>
        <v>0</v>
      </c>
      <c r="BM73" s="90">
        <f t="shared" si="14"/>
        <v>0</v>
      </c>
      <c r="BN73" s="61" t="s">
        <v>151</v>
      </c>
      <c r="BO73" s="61" t="s">
        <v>32</v>
      </c>
    </row>
    <row r="74" spans="1:67" s="54" customFormat="1" ht="30">
      <c r="A74" s="55" t="s">
        <v>278</v>
      </c>
      <c r="B74" s="56" t="s">
        <v>225</v>
      </c>
      <c r="C74" s="36" t="s">
        <v>374</v>
      </c>
      <c r="D74" s="37" t="s">
        <v>377</v>
      </c>
      <c r="E74" s="57" t="s">
        <v>28</v>
      </c>
      <c r="F74" s="57" t="s">
        <v>28</v>
      </c>
      <c r="G74" s="57" t="s">
        <v>28</v>
      </c>
      <c r="H74" s="57" t="s">
        <v>29</v>
      </c>
      <c r="I74" s="57" t="s">
        <v>28</v>
      </c>
      <c r="J74" s="57" t="s">
        <v>28</v>
      </c>
      <c r="K74" s="58"/>
      <c r="L74" s="58">
        <v>3000</v>
      </c>
      <c r="M74" s="57" t="s">
        <v>31</v>
      </c>
      <c r="N74" s="58">
        <v>2800</v>
      </c>
      <c r="O74" s="59" t="s">
        <v>31</v>
      </c>
      <c r="P74" s="58">
        <f>L74/100*75</f>
        <v>2250</v>
      </c>
      <c r="Q74" s="58">
        <v>200</v>
      </c>
      <c r="R74" s="57" t="s">
        <v>31</v>
      </c>
      <c r="S74" s="56" t="s">
        <v>28</v>
      </c>
      <c r="T74" s="57" t="s">
        <v>29</v>
      </c>
      <c r="U74" s="58"/>
      <c r="V74" s="57" t="s">
        <v>29</v>
      </c>
      <c r="W74" s="58">
        <v>1619</v>
      </c>
      <c r="X74" s="58">
        <v>2</v>
      </c>
      <c r="Y74" s="58">
        <v>50</v>
      </c>
      <c r="Z74" s="59" t="s">
        <v>31</v>
      </c>
      <c r="AA74" s="58">
        <v>5</v>
      </c>
      <c r="AB74" s="58">
        <v>300</v>
      </c>
      <c r="AC74" s="58">
        <v>4</v>
      </c>
      <c r="AD74" s="59" t="s">
        <v>31</v>
      </c>
      <c r="AE74" s="58">
        <v>30</v>
      </c>
      <c r="AF74" s="58">
        <v>300</v>
      </c>
      <c r="AG74" s="59" t="s">
        <v>31</v>
      </c>
      <c r="AH74" s="58">
        <v>3</v>
      </c>
      <c r="AI74" s="58">
        <v>150</v>
      </c>
      <c r="AJ74" s="59" t="s">
        <v>31</v>
      </c>
      <c r="AK74" s="56" t="s">
        <v>28</v>
      </c>
      <c r="AL74" s="60"/>
      <c r="AM74" s="60"/>
      <c r="AN74" s="57" t="s">
        <v>29</v>
      </c>
      <c r="AO74" s="57" t="s">
        <v>28</v>
      </c>
      <c r="AP74" s="57" t="s">
        <v>28</v>
      </c>
      <c r="AQ74" s="56" t="s">
        <v>28</v>
      </c>
      <c r="AR74" s="56" t="s">
        <v>29</v>
      </c>
      <c r="AS74" s="56" t="s">
        <v>28</v>
      </c>
      <c r="AT74" s="56" t="s">
        <v>29</v>
      </c>
      <c r="AU74" s="56" t="s">
        <v>28</v>
      </c>
      <c r="AV74" s="56" t="s">
        <v>28</v>
      </c>
      <c r="AW74" s="56" t="s">
        <v>29</v>
      </c>
      <c r="AX74" s="56" t="s">
        <v>279</v>
      </c>
      <c r="AY74" s="56" t="s">
        <v>28</v>
      </c>
      <c r="AZ74" s="58">
        <v>23</v>
      </c>
      <c r="BA74" s="59" t="s">
        <v>31</v>
      </c>
      <c r="BB74" s="81" t="s">
        <v>280</v>
      </c>
      <c r="BC74" s="59" t="s">
        <v>31</v>
      </c>
      <c r="BD74" s="38"/>
      <c r="BE74" s="46">
        <v>3</v>
      </c>
      <c r="BF74" s="59" t="s">
        <v>30</v>
      </c>
      <c r="BG74" s="57" t="s">
        <v>29</v>
      </c>
      <c r="BH74" s="45">
        <f>P74/100*47*8.9</f>
        <v>9411.75</v>
      </c>
      <c r="BI74" s="45">
        <f>P74/100*47*17.79</f>
        <v>18812.924999999999</v>
      </c>
      <c r="BJ74" s="45">
        <v>0</v>
      </c>
      <c r="BK74" s="86">
        <f t="shared" si="13"/>
        <v>28224.674999999999</v>
      </c>
      <c r="BL74" s="46">
        <f t="shared" si="12"/>
        <v>1.59975</v>
      </c>
      <c r="BM74" s="90">
        <f t="shared" si="14"/>
        <v>4.5997500000000002</v>
      </c>
      <c r="BN74" s="61" t="s">
        <v>281</v>
      </c>
      <c r="BO74" s="61" t="s">
        <v>282</v>
      </c>
    </row>
    <row r="75" spans="1:67" s="54" customFormat="1" ht="120">
      <c r="A75" s="55" t="s">
        <v>400</v>
      </c>
      <c r="B75" s="56" t="s">
        <v>42</v>
      </c>
      <c r="C75" s="36" t="s">
        <v>372</v>
      </c>
      <c r="D75" s="37" t="s">
        <v>375</v>
      </c>
      <c r="E75" s="57" t="s">
        <v>29</v>
      </c>
      <c r="F75" s="57" t="s">
        <v>28</v>
      </c>
      <c r="G75" s="57" t="s">
        <v>28</v>
      </c>
      <c r="H75" s="57" t="s">
        <v>28</v>
      </c>
      <c r="I75" s="57" t="s">
        <v>28</v>
      </c>
      <c r="J75" s="57" t="s">
        <v>28</v>
      </c>
      <c r="K75" s="58">
        <v>3432</v>
      </c>
      <c r="L75" s="58">
        <v>13553</v>
      </c>
      <c r="M75" s="57" t="s">
        <v>30</v>
      </c>
      <c r="N75" s="58">
        <v>8395</v>
      </c>
      <c r="O75" s="59" t="s">
        <v>30</v>
      </c>
      <c r="P75" s="58">
        <f>L75/100*72</f>
        <v>9758.16</v>
      </c>
      <c r="Q75" s="58">
        <v>5158</v>
      </c>
      <c r="R75" s="57" t="s">
        <v>30</v>
      </c>
      <c r="S75" s="56" t="s">
        <v>360</v>
      </c>
      <c r="T75" s="57" t="s">
        <v>29</v>
      </c>
      <c r="U75" s="58">
        <v>12984</v>
      </c>
      <c r="V75" s="57" t="s">
        <v>29</v>
      </c>
      <c r="W75" s="58">
        <v>2217</v>
      </c>
      <c r="X75" s="58">
        <v>57</v>
      </c>
      <c r="Y75" s="58">
        <v>1319</v>
      </c>
      <c r="Z75" s="59" t="s">
        <v>30</v>
      </c>
      <c r="AA75" s="58">
        <v>5</v>
      </c>
      <c r="AB75" s="58">
        <v>220</v>
      </c>
      <c r="AC75" s="58"/>
      <c r="AD75" s="59" t="s">
        <v>30</v>
      </c>
      <c r="AE75" s="58">
        <v>134</v>
      </c>
      <c r="AF75" s="58">
        <v>4244</v>
      </c>
      <c r="AG75" s="59" t="s">
        <v>30</v>
      </c>
      <c r="AH75" s="58">
        <v>0</v>
      </c>
      <c r="AI75" s="58">
        <v>0</v>
      </c>
      <c r="AJ75" s="59" t="s">
        <v>30</v>
      </c>
      <c r="AK75" s="56" t="s">
        <v>29</v>
      </c>
      <c r="AL75" s="60">
        <v>3.5</v>
      </c>
      <c r="AM75" s="60">
        <v>0</v>
      </c>
      <c r="AN75" s="57" t="s">
        <v>29</v>
      </c>
      <c r="AO75" s="57" t="s">
        <v>29</v>
      </c>
      <c r="AP75" s="57"/>
      <c r="AQ75" s="56" t="s">
        <v>28</v>
      </c>
      <c r="AR75" s="56" t="s">
        <v>28</v>
      </c>
      <c r="AS75" s="56" t="s">
        <v>29</v>
      </c>
      <c r="AT75" s="56" t="s">
        <v>29</v>
      </c>
      <c r="AU75" s="56" t="s">
        <v>28</v>
      </c>
      <c r="AV75" s="56" t="s">
        <v>29</v>
      </c>
      <c r="AW75" s="56" t="s">
        <v>28</v>
      </c>
      <c r="AX75" s="56" t="s">
        <v>361</v>
      </c>
      <c r="AY75" s="56" t="s">
        <v>28</v>
      </c>
      <c r="AZ75" s="58">
        <v>44</v>
      </c>
      <c r="BA75" s="59" t="s">
        <v>31</v>
      </c>
      <c r="BB75" s="81">
        <v>1930</v>
      </c>
      <c r="BC75" s="59" t="s">
        <v>31</v>
      </c>
      <c r="BD75" s="38">
        <f>BB75/7*50</f>
        <v>13785.714285714286</v>
      </c>
      <c r="BE75" s="46">
        <v>4.0999999999999996</v>
      </c>
      <c r="BF75" s="59" t="s">
        <v>31</v>
      </c>
      <c r="BG75" s="57" t="s">
        <v>29</v>
      </c>
      <c r="BH75" s="45">
        <f>P75/100*44*11.29</f>
        <v>48474.635616</v>
      </c>
      <c r="BI75" s="45">
        <f>P75/100*44*22.59</f>
        <v>96992.207135999997</v>
      </c>
      <c r="BJ75" s="45">
        <v>81633.028574999989</v>
      </c>
      <c r="BK75" s="86">
        <f t="shared" si="13"/>
        <v>227099.87132699997</v>
      </c>
      <c r="BL75" s="46">
        <f t="shared" si="12"/>
        <v>2.1863249999999996</v>
      </c>
      <c r="BM75" s="90">
        <f t="shared" si="14"/>
        <v>6.2863249999999997</v>
      </c>
      <c r="BN75" s="61" t="s">
        <v>32</v>
      </c>
      <c r="BO75" s="61" t="s">
        <v>32</v>
      </c>
    </row>
    <row r="76" spans="1:67" s="54" customFormat="1" ht="30">
      <c r="A76" s="55" t="s">
        <v>356</v>
      </c>
      <c r="B76" s="56" t="s">
        <v>42</v>
      </c>
      <c r="C76" s="62" t="s">
        <v>371</v>
      </c>
      <c r="D76" s="37" t="s">
        <v>375</v>
      </c>
      <c r="E76" s="57" t="s">
        <v>29</v>
      </c>
      <c r="F76" s="57" t="s">
        <v>28</v>
      </c>
      <c r="G76" s="57" t="s">
        <v>28</v>
      </c>
      <c r="H76" s="57" t="s">
        <v>28</v>
      </c>
      <c r="I76" s="57" t="s">
        <v>28</v>
      </c>
      <c r="J76" s="57" t="s">
        <v>28</v>
      </c>
      <c r="K76" s="58">
        <v>2300</v>
      </c>
      <c r="L76" s="58">
        <v>26284</v>
      </c>
      <c r="M76" s="57" t="s">
        <v>30</v>
      </c>
      <c r="N76" s="58">
        <v>18747</v>
      </c>
      <c r="O76" s="59" t="s">
        <v>31</v>
      </c>
      <c r="P76" s="58">
        <f>L76/100*72</f>
        <v>18924.48</v>
      </c>
      <c r="Q76" s="58">
        <v>7537</v>
      </c>
      <c r="R76" s="57" t="s">
        <v>31</v>
      </c>
      <c r="S76" s="56" t="s">
        <v>28</v>
      </c>
      <c r="T76" s="57" t="s">
        <v>29</v>
      </c>
      <c r="U76" s="58"/>
      <c r="V76" s="57" t="s">
        <v>29</v>
      </c>
      <c r="W76" s="58">
        <v>1436</v>
      </c>
      <c r="X76" s="58"/>
      <c r="Y76" s="58">
        <v>4541</v>
      </c>
      <c r="Z76" s="59" t="s">
        <v>30</v>
      </c>
      <c r="AA76" s="58"/>
      <c r="AB76" s="58">
        <v>1789</v>
      </c>
      <c r="AC76" s="58"/>
      <c r="AD76" s="59" t="s">
        <v>30</v>
      </c>
      <c r="AE76" s="58">
        <v>25</v>
      </c>
      <c r="AF76" s="58">
        <v>7000</v>
      </c>
      <c r="AG76" s="59" t="s">
        <v>30</v>
      </c>
      <c r="AH76" s="58">
        <v>15</v>
      </c>
      <c r="AI76" s="58">
        <v>4500</v>
      </c>
      <c r="AJ76" s="59" t="s">
        <v>30</v>
      </c>
      <c r="AK76" s="56" t="s">
        <v>29</v>
      </c>
      <c r="AL76" s="60">
        <v>4</v>
      </c>
      <c r="AM76" s="60">
        <v>2</v>
      </c>
      <c r="AN76" s="57" t="s">
        <v>29</v>
      </c>
      <c r="AO76" s="57" t="s">
        <v>28</v>
      </c>
      <c r="AP76" s="57" t="s">
        <v>28</v>
      </c>
      <c r="AQ76" s="56" t="s">
        <v>29</v>
      </c>
      <c r="AR76" s="56" t="s">
        <v>28</v>
      </c>
      <c r="AS76" s="56" t="s">
        <v>29</v>
      </c>
      <c r="AT76" s="56" t="s">
        <v>29</v>
      </c>
      <c r="AU76" s="56" t="s">
        <v>28</v>
      </c>
      <c r="AV76" s="56" t="s">
        <v>28</v>
      </c>
      <c r="AW76" s="56" t="s">
        <v>28</v>
      </c>
      <c r="AX76" s="56" t="s">
        <v>28</v>
      </c>
      <c r="AY76" s="56" t="s">
        <v>28</v>
      </c>
      <c r="AZ76" s="58">
        <v>8</v>
      </c>
      <c r="BA76" s="59" t="s">
        <v>31</v>
      </c>
      <c r="BB76" s="81">
        <v>249</v>
      </c>
      <c r="BC76" s="59" t="s">
        <v>31</v>
      </c>
      <c r="BD76" s="38">
        <f>BB76/7*50</f>
        <v>1778.5714285714284</v>
      </c>
      <c r="BE76" s="46">
        <v>3.1</v>
      </c>
      <c r="BF76" s="59" t="s">
        <v>31</v>
      </c>
      <c r="BG76" s="57" t="s">
        <v>29</v>
      </c>
      <c r="BH76" s="45">
        <f>P76/100*44*12.86</f>
        <v>107082.27763199998</v>
      </c>
      <c r="BI76" s="45">
        <f>P76/100*44*25.73</f>
        <v>214247.822976</v>
      </c>
      <c r="BJ76" s="45">
        <v>228225.34875</v>
      </c>
      <c r="BK76" s="86">
        <f t="shared" si="13"/>
        <v>549555.44935799995</v>
      </c>
      <c r="BL76" s="46">
        <f t="shared" si="12"/>
        <v>1.6530750000000003</v>
      </c>
      <c r="BM76" s="90">
        <f t="shared" si="14"/>
        <v>4.7530750000000008</v>
      </c>
      <c r="BN76" s="61" t="s">
        <v>32</v>
      </c>
      <c r="BO76" s="61" t="s">
        <v>32</v>
      </c>
    </row>
    <row r="77" spans="1:67" s="54" customFormat="1" ht="30">
      <c r="A77" s="55" t="s">
        <v>173</v>
      </c>
      <c r="B77" s="56" t="s">
        <v>27</v>
      </c>
      <c r="C77" s="36" t="s">
        <v>370</v>
      </c>
      <c r="D77" s="37" t="s">
        <v>377</v>
      </c>
      <c r="E77" s="57" t="s">
        <v>28</v>
      </c>
      <c r="F77" s="57" t="s">
        <v>28</v>
      </c>
      <c r="G77" s="57" t="s">
        <v>29</v>
      </c>
      <c r="H77" s="57" t="s">
        <v>28</v>
      </c>
      <c r="I77" s="57" t="s">
        <v>28</v>
      </c>
      <c r="J77" s="57" t="s">
        <v>28</v>
      </c>
      <c r="K77" s="58">
        <v>1224</v>
      </c>
      <c r="L77" s="58">
        <v>5205</v>
      </c>
      <c r="M77" s="57" t="s">
        <v>30</v>
      </c>
      <c r="N77" s="58">
        <v>2478</v>
      </c>
      <c r="O77" s="59" t="s">
        <v>30</v>
      </c>
      <c r="P77" s="58">
        <f>L77/100*75</f>
        <v>3903.75</v>
      </c>
      <c r="Q77" s="58" t="s">
        <v>174</v>
      </c>
      <c r="R77" s="57" t="s">
        <v>31</v>
      </c>
      <c r="S77" s="56" t="s">
        <v>175</v>
      </c>
      <c r="T77" s="57" t="s">
        <v>29</v>
      </c>
      <c r="U77" s="58"/>
      <c r="V77" s="57" t="s">
        <v>29</v>
      </c>
      <c r="W77" s="58">
        <v>5054</v>
      </c>
      <c r="X77" s="58">
        <v>422</v>
      </c>
      <c r="Y77" s="58"/>
      <c r="Z77" s="59" t="s">
        <v>30</v>
      </c>
      <c r="AA77" s="58"/>
      <c r="AB77" s="58"/>
      <c r="AC77" s="58"/>
      <c r="AD77" s="59"/>
      <c r="AE77" s="58"/>
      <c r="AF77" s="58"/>
      <c r="AG77" s="59"/>
      <c r="AH77" s="58"/>
      <c r="AI77" s="58"/>
      <c r="AJ77" s="59"/>
      <c r="AK77" s="56" t="s">
        <v>29</v>
      </c>
      <c r="AL77" s="60">
        <v>4</v>
      </c>
      <c r="AM77" s="60">
        <v>0</v>
      </c>
      <c r="AN77" s="57" t="s">
        <v>29</v>
      </c>
      <c r="AO77" s="57" t="s">
        <v>29</v>
      </c>
      <c r="AP77" s="57"/>
      <c r="AQ77" s="56" t="s">
        <v>28</v>
      </c>
      <c r="AR77" s="56" t="s">
        <v>29</v>
      </c>
      <c r="AS77" s="56" t="s">
        <v>28</v>
      </c>
      <c r="AT77" s="56" t="s">
        <v>29</v>
      </c>
      <c r="AU77" s="56" t="s">
        <v>29</v>
      </c>
      <c r="AV77" s="56" t="s">
        <v>28</v>
      </c>
      <c r="AW77" s="56" t="s">
        <v>28</v>
      </c>
      <c r="AX77" s="56" t="s">
        <v>28</v>
      </c>
      <c r="AY77" s="56" t="s">
        <v>28</v>
      </c>
      <c r="AZ77" s="58">
        <v>35</v>
      </c>
      <c r="BA77" s="59" t="s">
        <v>31</v>
      </c>
      <c r="BB77" s="81" t="s">
        <v>32</v>
      </c>
      <c r="BC77" s="59" t="s">
        <v>32</v>
      </c>
      <c r="BD77" s="38"/>
      <c r="BE77" s="46">
        <v>2</v>
      </c>
      <c r="BF77" s="59" t="s">
        <v>31</v>
      </c>
      <c r="BG77" s="57" t="s">
        <v>28</v>
      </c>
      <c r="BH77" s="45">
        <f>P77/100*47*17.99</f>
        <v>33007.377374999996</v>
      </c>
      <c r="BI77" s="45">
        <f>P77/100*47*35.98</f>
        <v>66014.754749999993</v>
      </c>
      <c r="BJ77" s="45">
        <v>501380</v>
      </c>
      <c r="BK77" s="86">
        <f t="shared" si="13"/>
        <v>600402.132125</v>
      </c>
      <c r="BL77" s="46">
        <f t="shared" si="12"/>
        <v>1.0665</v>
      </c>
      <c r="BM77" s="90">
        <f t="shared" si="14"/>
        <v>3.0665</v>
      </c>
      <c r="BN77" s="61" t="s">
        <v>32</v>
      </c>
      <c r="BO77" s="61" t="s">
        <v>32</v>
      </c>
    </row>
    <row r="78" spans="1:67" s="54" customFormat="1" ht="120">
      <c r="A78" s="55" t="s">
        <v>38</v>
      </c>
      <c r="B78" s="56" t="s">
        <v>36</v>
      </c>
      <c r="C78" s="36" t="s">
        <v>370</v>
      </c>
      <c r="D78" s="37" t="s">
        <v>375</v>
      </c>
      <c r="E78" s="57" t="s">
        <v>29</v>
      </c>
      <c r="F78" s="57" t="s">
        <v>28</v>
      </c>
      <c r="G78" s="57" t="s">
        <v>28</v>
      </c>
      <c r="H78" s="57" t="s">
        <v>28</v>
      </c>
      <c r="I78" s="57" t="s">
        <v>28</v>
      </c>
      <c r="J78" s="57" t="s">
        <v>28</v>
      </c>
      <c r="K78" s="58">
        <v>1781.5</v>
      </c>
      <c r="L78" s="58">
        <v>14068</v>
      </c>
      <c r="M78" s="57" t="s">
        <v>30</v>
      </c>
      <c r="N78" s="58">
        <v>10526</v>
      </c>
      <c r="O78" s="59" t="s">
        <v>30</v>
      </c>
      <c r="P78" s="58">
        <f>L78/100*75</f>
        <v>10551</v>
      </c>
      <c r="Q78" s="58">
        <v>3542</v>
      </c>
      <c r="R78" s="57" t="s">
        <v>30</v>
      </c>
      <c r="S78" s="56" t="s">
        <v>39</v>
      </c>
      <c r="T78" s="57" t="s">
        <v>29</v>
      </c>
      <c r="U78" s="58"/>
      <c r="V78" s="57" t="s">
        <v>29</v>
      </c>
      <c r="W78" s="58">
        <v>4808</v>
      </c>
      <c r="X78" s="58">
        <v>152</v>
      </c>
      <c r="Y78" s="58">
        <v>3256</v>
      </c>
      <c r="Z78" s="59" t="s">
        <v>30</v>
      </c>
      <c r="AA78" s="58">
        <v>72</v>
      </c>
      <c r="AB78" s="58">
        <v>634</v>
      </c>
      <c r="AC78" s="58">
        <v>4</v>
      </c>
      <c r="AD78" s="59" t="s">
        <v>30</v>
      </c>
      <c r="AE78" s="58">
        <v>38</v>
      </c>
      <c r="AF78" s="58">
        <v>2404</v>
      </c>
      <c r="AG78" s="59" t="s">
        <v>30</v>
      </c>
      <c r="AH78" s="58">
        <v>4</v>
      </c>
      <c r="AI78" s="58">
        <v>138</v>
      </c>
      <c r="AJ78" s="59" t="s">
        <v>30</v>
      </c>
      <c r="AK78" s="56" t="s">
        <v>28</v>
      </c>
      <c r="AL78" s="60"/>
      <c r="AM78" s="60"/>
      <c r="AN78" s="57" t="s">
        <v>28</v>
      </c>
      <c r="AO78" s="57" t="s">
        <v>28</v>
      </c>
      <c r="AP78" s="57" t="s">
        <v>28</v>
      </c>
      <c r="AQ78" s="56" t="s">
        <v>29</v>
      </c>
      <c r="AR78" s="56" t="s">
        <v>28</v>
      </c>
      <c r="AS78" s="56" t="s">
        <v>29</v>
      </c>
      <c r="AT78" s="56" t="s">
        <v>28</v>
      </c>
      <c r="AU78" s="56" t="s">
        <v>28</v>
      </c>
      <c r="AV78" s="56" t="s">
        <v>28</v>
      </c>
      <c r="AW78" s="56" t="s">
        <v>28</v>
      </c>
      <c r="AX78" s="56" t="s">
        <v>28</v>
      </c>
      <c r="AY78" s="56" t="s">
        <v>28</v>
      </c>
      <c r="AZ78" s="58">
        <v>51</v>
      </c>
      <c r="BA78" s="59" t="s">
        <v>30</v>
      </c>
      <c r="BB78" s="81">
        <v>805</v>
      </c>
      <c r="BC78" s="59" t="s">
        <v>30</v>
      </c>
      <c r="BD78" s="38">
        <f>BB78/7*50</f>
        <v>5750</v>
      </c>
      <c r="BE78" s="46">
        <v>2</v>
      </c>
      <c r="BF78" s="59" t="s">
        <v>30</v>
      </c>
      <c r="BG78" s="57" t="s">
        <v>28</v>
      </c>
      <c r="BH78" s="45">
        <f>P78/100*47*17.99</f>
        <v>89211.870299999995</v>
      </c>
      <c r="BI78" s="45">
        <f>P78/100*47*35.98</f>
        <v>178423.74059999999</v>
      </c>
      <c r="BJ78" s="45">
        <v>37350.494912499991</v>
      </c>
      <c r="BK78" s="86">
        <f t="shared" si="13"/>
        <v>304986.10581249994</v>
      </c>
      <c r="BL78" s="46">
        <f t="shared" si="12"/>
        <v>1.0665</v>
      </c>
      <c r="BM78" s="90">
        <f t="shared" si="14"/>
        <v>3.0665</v>
      </c>
      <c r="BN78" s="61" t="s">
        <v>40</v>
      </c>
      <c r="BO78" s="61" t="s">
        <v>41</v>
      </c>
    </row>
    <row r="79" spans="1:67" s="54" customFormat="1" ht="60">
      <c r="A79" s="55" t="s">
        <v>123</v>
      </c>
      <c r="B79" s="56" t="s">
        <v>27</v>
      </c>
      <c r="C79" s="62" t="s">
        <v>371</v>
      </c>
      <c r="D79" s="37" t="s">
        <v>375</v>
      </c>
      <c r="E79" s="57" t="s">
        <v>28</v>
      </c>
      <c r="F79" s="57" t="s">
        <v>29</v>
      </c>
      <c r="G79" s="57" t="s">
        <v>28</v>
      </c>
      <c r="H79" s="57" t="s">
        <v>28</v>
      </c>
      <c r="I79" s="57" t="s">
        <v>28</v>
      </c>
      <c r="J79" s="57" t="s">
        <v>28</v>
      </c>
      <c r="K79" s="58">
        <v>1386</v>
      </c>
      <c r="L79" s="58">
        <v>33307</v>
      </c>
      <c r="M79" s="57" t="s">
        <v>30</v>
      </c>
      <c r="N79" s="58">
        <v>26500</v>
      </c>
      <c r="O79" s="59" t="s">
        <v>31</v>
      </c>
      <c r="P79" s="58">
        <f>L79/100*72</f>
        <v>23981.040000000001</v>
      </c>
      <c r="Q79" s="58">
        <v>6500</v>
      </c>
      <c r="R79" s="57" t="s">
        <v>31</v>
      </c>
      <c r="S79" s="56" t="s">
        <v>124</v>
      </c>
      <c r="T79" s="57" t="s">
        <v>29</v>
      </c>
      <c r="U79" s="58">
        <v>39490</v>
      </c>
      <c r="V79" s="57" t="s">
        <v>32</v>
      </c>
      <c r="W79" s="58">
        <v>9380</v>
      </c>
      <c r="X79" s="58">
        <v>14</v>
      </c>
      <c r="Y79" s="58">
        <v>608</v>
      </c>
      <c r="Z79" s="59" t="s">
        <v>30</v>
      </c>
      <c r="AA79" s="58"/>
      <c r="AB79" s="58"/>
      <c r="AC79" s="58">
        <v>17</v>
      </c>
      <c r="AD79" s="59" t="s">
        <v>30</v>
      </c>
      <c r="AE79" s="58">
        <v>5</v>
      </c>
      <c r="AF79" s="58">
        <v>100</v>
      </c>
      <c r="AG79" s="59" t="s">
        <v>31</v>
      </c>
      <c r="AH79" s="58">
        <v>8</v>
      </c>
      <c r="AI79" s="58">
        <v>150</v>
      </c>
      <c r="AJ79" s="59" t="s">
        <v>30</v>
      </c>
      <c r="AK79" s="56" t="s">
        <v>29</v>
      </c>
      <c r="AL79" s="60">
        <v>8.25</v>
      </c>
      <c r="AM79" s="60">
        <v>4.7</v>
      </c>
      <c r="AN79" s="57" t="s">
        <v>29</v>
      </c>
      <c r="AO79" s="57" t="s">
        <v>28</v>
      </c>
      <c r="AP79" s="57" t="s">
        <v>29</v>
      </c>
      <c r="AQ79" s="56" t="s">
        <v>29</v>
      </c>
      <c r="AR79" s="56" t="s">
        <v>29</v>
      </c>
      <c r="AS79" s="56" t="s">
        <v>29</v>
      </c>
      <c r="AT79" s="56" t="s">
        <v>29</v>
      </c>
      <c r="AU79" s="56" t="s">
        <v>28</v>
      </c>
      <c r="AV79" s="56" t="s">
        <v>29</v>
      </c>
      <c r="AW79" s="56" t="s">
        <v>29</v>
      </c>
      <c r="AX79" s="56" t="s">
        <v>28</v>
      </c>
      <c r="AY79" s="56" t="s">
        <v>125</v>
      </c>
      <c r="AZ79" s="58">
        <v>154</v>
      </c>
      <c r="BA79" s="59" t="s">
        <v>30</v>
      </c>
      <c r="BB79" s="81">
        <v>19850</v>
      </c>
      <c r="BC79" s="59" t="s">
        <v>30</v>
      </c>
      <c r="BD79" s="38">
        <f>BB79/7*50</f>
        <v>141785.71428571429</v>
      </c>
      <c r="BE79" s="46">
        <v>12.5</v>
      </c>
      <c r="BF79" s="59" t="s">
        <v>31</v>
      </c>
      <c r="BG79" s="57" t="s">
        <v>29</v>
      </c>
      <c r="BH79" s="45">
        <f>P79/100*44*12.86</f>
        <v>135694.31673600001</v>
      </c>
      <c r="BI79" s="45">
        <f>P79/100*44*25.73</f>
        <v>271494.15004800004</v>
      </c>
      <c r="BJ79" s="45">
        <v>453483.36249999999</v>
      </c>
      <c r="BK79" s="86">
        <f t="shared" si="13"/>
        <v>860671.82928399998</v>
      </c>
      <c r="BL79" s="46">
        <f t="shared" si="12"/>
        <v>6.6656249999999995</v>
      </c>
      <c r="BM79" s="90">
        <f t="shared" si="14"/>
        <v>19.165624999999999</v>
      </c>
      <c r="BN79" s="61" t="s">
        <v>126</v>
      </c>
      <c r="BO79" s="61" t="s">
        <v>127</v>
      </c>
    </row>
    <row r="80" spans="1:67" s="54" customFormat="1" ht="45">
      <c r="A80" s="55" t="s">
        <v>351</v>
      </c>
      <c r="B80" s="56" t="s">
        <v>42</v>
      </c>
      <c r="C80" s="36" t="s">
        <v>369</v>
      </c>
      <c r="D80" s="37" t="s">
        <v>375</v>
      </c>
      <c r="E80" s="57" t="s">
        <v>29</v>
      </c>
      <c r="F80" s="57" t="s">
        <v>28</v>
      </c>
      <c r="G80" s="57" t="s">
        <v>28</v>
      </c>
      <c r="H80" s="57" t="s">
        <v>28</v>
      </c>
      <c r="I80" s="57" t="s">
        <v>28</v>
      </c>
      <c r="J80" s="57" t="s">
        <v>28</v>
      </c>
      <c r="K80" s="58">
        <v>1683.5</v>
      </c>
      <c r="L80" s="58">
        <v>17350</v>
      </c>
      <c r="M80" s="57" t="s">
        <v>30</v>
      </c>
      <c r="N80" s="58">
        <v>12195</v>
      </c>
      <c r="O80" s="59" t="s">
        <v>31</v>
      </c>
      <c r="P80" s="58">
        <f>L80/100*72</f>
        <v>12492</v>
      </c>
      <c r="Q80" s="58">
        <v>5155</v>
      </c>
      <c r="R80" s="57" t="s">
        <v>31</v>
      </c>
      <c r="S80" s="56" t="s">
        <v>347</v>
      </c>
      <c r="T80" s="57" t="s">
        <v>29</v>
      </c>
      <c r="U80" s="58">
        <v>8500</v>
      </c>
      <c r="V80" s="57" t="s">
        <v>28</v>
      </c>
      <c r="W80" s="58"/>
      <c r="X80" s="58">
        <v>76</v>
      </c>
      <c r="Y80" s="58">
        <v>1837</v>
      </c>
      <c r="Z80" s="59" t="s">
        <v>31</v>
      </c>
      <c r="AA80" s="58">
        <v>0</v>
      </c>
      <c r="AB80" s="58">
        <v>0</v>
      </c>
      <c r="AC80" s="58"/>
      <c r="AD80" s="59" t="s">
        <v>30</v>
      </c>
      <c r="AE80" s="58">
        <v>85</v>
      </c>
      <c r="AF80" s="58">
        <v>2923</v>
      </c>
      <c r="AG80" s="59" t="s">
        <v>31</v>
      </c>
      <c r="AH80" s="58">
        <v>1</v>
      </c>
      <c r="AI80" s="58">
        <v>132</v>
      </c>
      <c r="AJ80" s="59" t="s">
        <v>31</v>
      </c>
      <c r="AK80" s="56" t="s">
        <v>29</v>
      </c>
      <c r="AL80" s="60">
        <v>5.95</v>
      </c>
      <c r="AM80" s="60">
        <v>5</v>
      </c>
      <c r="AN80" s="57" t="s">
        <v>29</v>
      </c>
      <c r="AO80" s="57" t="s">
        <v>28</v>
      </c>
      <c r="AP80" s="57" t="s">
        <v>28</v>
      </c>
      <c r="AQ80" s="56" t="s">
        <v>28</v>
      </c>
      <c r="AR80" s="56" t="s">
        <v>28</v>
      </c>
      <c r="AS80" s="56" t="s">
        <v>28</v>
      </c>
      <c r="AT80" s="56" t="s">
        <v>28</v>
      </c>
      <c r="AU80" s="56" t="s">
        <v>28</v>
      </c>
      <c r="AV80" s="56" t="s">
        <v>28</v>
      </c>
      <c r="AW80" s="56" t="s">
        <v>28</v>
      </c>
      <c r="AX80" s="56" t="s">
        <v>28</v>
      </c>
      <c r="AY80" s="56" t="s">
        <v>28</v>
      </c>
      <c r="AZ80" s="58">
        <v>6</v>
      </c>
      <c r="BA80" s="59" t="s">
        <v>30</v>
      </c>
      <c r="BB80" s="81">
        <v>560</v>
      </c>
      <c r="BC80" s="59" t="s">
        <v>30</v>
      </c>
      <c r="BD80" s="38">
        <f>BB80/7*50</f>
        <v>4000</v>
      </c>
      <c r="BE80" s="46">
        <v>2</v>
      </c>
      <c r="BF80" s="59" t="s">
        <v>30</v>
      </c>
      <c r="BG80" s="57" t="s">
        <v>29</v>
      </c>
      <c r="BH80" s="45">
        <f>P80/100*44*14.08</f>
        <v>77390.438400000014</v>
      </c>
      <c r="BI80" s="45">
        <f>P80/100*44*28.16</f>
        <v>154780.87680000003</v>
      </c>
      <c r="BJ80" s="45">
        <v>52152.607499999998</v>
      </c>
      <c r="BK80" s="86">
        <f t="shared" si="13"/>
        <v>284323.92270000005</v>
      </c>
      <c r="BL80" s="46">
        <f t="shared" si="12"/>
        <v>1.0665</v>
      </c>
      <c r="BM80" s="90">
        <f t="shared" si="14"/>
        <v>3.0665</v>
      </c>
      <c r="BN80" s="61" t="s">
        <v>32</v>
      </c>
      <c r="BO80" s="61" t="s">
        <v>32</v>
      </c>
    </row>
    <row r="81" spans="1:67" s="54" customFormat="1" ht="150">
      <c r="A81" s="55" t="s">
        <v>97</v>
      </c>
      <c r="B81" s="56" t="s">
        <v>27</v>
      </c>
      <c r="C81" s="36" t="s">
        <v>373</v>
      </c>
      <c r="D81" s="37" t="s">
        <v>375</v>
      </c>
      <c r="E81" s="57" t="s">
        <v>28</v>
      </c>
      <c r="F81" s="57" t="s">
        <v>29</v>
      </c>
      <c r="G81" s="57" t="s">
        <v>28</v>
      </c>
      <c r="H81" s="57" t="s">
        <v>28</v>
      </c>
      <c r="I81" s="57" t="s">
        <v>28</v>
      </c>
      <c r="J81" s="57" t="s">
        <v>28</v>
      </c>
      <c r="K81" s="58">
        <v>1402</v>
      </c>
      <c r="L81" s="58">
        <v>18652</v>
      </c>
      <c r="M81" s="57" t="s">
        <v>30</v>
      </c>
      <c r="N81" s="58">
        <v>14188</v>
      </c>
      <c r="O81" s="59" t="s">
        <v>30</v>
      </c>
      <c r="P81" s="58">
        <f>L81/100*72</f>
        <v>13429.44</v>
      </c>
      <c r="Q81" s="58">
        <v>4465</v>
      </c>
      <c r="R81" s="57" t="s">
        <v>30</v>
      </c>
      <c r="S81" s="56" t="s">
        <v>28</v>
      </c>
      <c r="T81" s="57" t="s">
        <v>29</v>
      </c>
      <c r="U81" s="58">
        <v>63319</v>
      </c>
      <c r="V81" s="57" t="s">
        <v>29</v>
      </c>
      <c r="W81" s="58">
        <v>1029</v>
      </c>
      <c r="X81" s="58">
        <v>18</v>
      </c>
      <c r="Y81" s="58">
        <v>711</v>
      </c>
      <c r="Z81" s="59" t="s">
        <v>30</v>
      </c>
      <c r="AA81" s="58">
        <v>0</v>
      </c>
      <c r="AB81" s="58">
        <v>0</v>
      </c>
      <c r="AC81" s="58">
        <v>12</v>
      </c>
      <c r="AD81" s="59" t="s">
        <v>30</v>
      </c>
      <c r="AE81" s="58">
        <v>31</v>
      </c>
      <c r="AF81" s="58">
        <v>643</v>
      </c>
      <c r="AG81" s="59" t="s">
        <v>30</v>
      </c>
      <c r="AH81" s="58">
        <v>1</v>
      </c>
      <c r="AI81" s="58">
        <v>20</v>
      </c>
      <c r="AJ81" s="59" t="s">
        <v>30</v>
      </c>
      <c r="AK81" s="56" t="s">
        <v>29</v>
      </c>
      <c r="AL81" s="60">
        <v>5</v>
      </c>
      <c r="AM81" s="60">
        <v>2</v>
      </c>
      <c r="AN81" s="57" t="s">
        <v>29</v>
      </c>
      <c r="AO81" s="57" t="s">
        <v>29</v>
      </c>
      <c r="AP81" s="57"/>
      <c r="AQ81" s="56" t="s">
        <v>29</v>
      </c>
      <c r="AR81" s="56" t="s">
        <v>29</v>
      </c>
      <c r="AS81" s="56" t="s">
        <v>28</v>
      </c>
      <c r="AT81" s="56" t="s">
        <v>28</v>
      </c>
      <c r="AU81" s="56" t="s">
        <v>28</v>
      </c>
      <c r="AV81" s="56" t="s">
        <v>28</v>
      </c>
      <c r="AW81" s="56" t="s">
        <v>28</v>
      </c>
      <c r="AX81" s="56" t="s">
        <v>28</v>
      </c>
      <c r="AY81" s="56" t="s">
        <v>28</v>
      </c>
      <c r="AZ81" s="58">
        <v>81</v>
      </c>
      <c r="BA81" s="59" t="s">
        <v>30</v>
      </c>
      <c r="BB81" s="81">
        <v>19031</v>
      </c>
      <c r="BC81" s="59" t="s">
        <v>30</v>
      </c>
      <c r="BD81" s="38">
        <f>BB81/7*50</f>
        <v>135935.71428571429</v>
      </c>
      <c r="BE81" s="46">
        <v>2</v>
      </c>
      <c r="BF81" s="59" t="s">
        <v>30</v>
      </c>
      <c r="BG81" s="57" t="s">
        <v>29</v>
      </c>
      <c r="BH81" s="45">
        <f>P81/100*44*12.91</f>
        <v>76284.590975999992</v>
      </c>
      <c r="BI81" s="45">
        <f>P81/100*44*25.82</f>
        <v>152569.18195199998</v>
      </c>
      <c r="BJ81" s="45">
        <v>111056.0325</v>
      </c>
      <c r="BK81" s="86">
        <f t="shared" si="13"/>
        <v>339909.80542799993</v>
      </c>
      <c r="BL81" s="46">
        <f t="shared" si="12"/>
        <v>1.0665</v>
      </c>
      <c r="BM81" s="90">
        <f t="shared" si="14"/>
        <v>3.0665</v>
      </c>
      <c r="BN81" s="61" t="s">
        <v>98</v>
      </c>
      <c r="BO81" s="61" t="s">
        <v>99</v>
      </c>
    </row>
    <row r="82" spans="1:67" s="54" customFormat="1" ht="45">
      <c r="A82" s="55" t="s">
        <v>313</v>
      </c>
      <c r="B82" s="56" t="s">
        <v>27</v>
      </c>
      <c r="C82" s="36" t="s">
        <v>369</v>
      </c>
      <c r="D82" s="37" t="s">
        <v>377</v>
      </c>
      <c r="E82" s="57" t="s">
        <v>28</v>
      </c>
      <c r="F82" s="57" t="s">
        <v>29</v>
      </c>
      <c r="G82" s="57" t="s">
        <v>28</v>
      </c>
      <c r="H82" s="57" t="s">
        <v>28</v>
      </c>
      <c r="I82" s="57" t="s">
        <v>28</v>
      </c>
      <c r="J82" s="57" t="s">
        <v>28</v>
      </c>
      <c r="K82" s="58"/>
      <c r="L82" s="58">
        <v>7354</v>
      </c>
      <c r="M82" s="57" t="s">
        <v>30</v>
      </c>
      <c r="N82" s="58">
        <v>6377</v>
      </c>
      <c r="O82" s="59" t="s">
        <v>30</v>
      </c>
      <c r="P82" s="58">
        <f>L82/100*75</f>
        <v>5515.5000000000009</v>
      </c>
      <c r="Q82" s="58">
        <v>977</v>
      </c>
      <c r="R82" s="57" t="s">
        <v>30</v>
      </c>
      <c r="S82" s="56" t="s">
        <v>314</v>
      </c>
      <c r="T82" s="57" t="s">
        <v>29</v>
      </c>
      <c r="U82" s="58"/>
      <c r="V82" s="57" t="s">
        <v>29</v>
      </c>
      <c r="W82" s="58"/>
      <c r="X82" s="58">
        <v>2</v>
      </c>
      <c r="Y82" s="58">
        <v>60</v>
      </c>
      <c r="Z82" s="59" t="s">
        <v>31</v>
      </c>
      <c r="AA82" s="58">
        <v>1</v>
      </c>
      <c r="AB82" s="58">
        <v>30</v>
      </c>
      <c r="AC82" s="58">
        <v>2</v>
      </c>
      <c r="AD82" s="59" t="s">
        <v>30</v>
      </c>
      <c r="AE82" s="58">
        <v>1</v>
      </c>
      <c r="AF82" s="58">
        <v>20</v>
      </c>
      <c r="AG82" s="59" t="s">
        <v>31</v>
      </c>
      <c r="AH82" s="58">
        <v>12</v>
      </c>
      <c r="AI82" s="58">
        <v>730</v>
      </c>
      <c r="AJ82" s="59" t="s">
        <v>30</v>
      </c>
      <c r="AK82" s="56" t="s">
        <v>29</v>
      </c>
      <c r="AL82" s="60">
        <v>5</v>
      </c>
      <c r="AM82" s="60">
        <v>2.5</v>
      </c>
      <c r="AN82" s="57" t="s">
        <v>29</v>
      </c>
      <c r="AO82" s="57" t="s">
        <v>29</v>
      </c>
      <c r="AP82" s="57"/>
      <c r="AQ82" s="56" t="s">
        <v>28</v>
      </c>
      <c r="AR82" s="56" t="s">
        <v>28</v>
      </c>
      <c r="AS82" s="56" t="s">
        <v>28</v>
      </c>
      <c r="AT82" s="56" t="s">
        <v>29</v>
      </c>
      <c r="AU82" s="56" t="s">
        <v>28</v>
      </c>
      <c r="AV82" s="56" t="s">
        <v>29</v>
      </c>
      <c r="AW82" s="56" t="s">
        <v>29</v>
      </c>
      <c r="AX82" s="56" t="s">
        <v>315</v>
      </c>
      <c r="AY82" s="56" t="s">
        <v>28</v>
      </c>
      <c r="AZ82" s="58">
        <v>85</v>
      </c>
      <c r="BA82" s="59" t="s">
        <v>31</v>
      </c>
      <c r="BB82" s="81" t="s">
        <v>68</v>
      </c>
      <c r="BC82" s="59" t="s">
        <v>31</v>
      </c>
      <c r="BD82" s="38"/>
      <c r="BE82" s="46">
        <v>7</v>
      </c>
      <c r="BF82" s="59" t="s">
        <v>30</v>
      </c>
      <c r="BG82" s="57" t="s">
        <v>29</v>
      </c>
      <c r="BH82" s="45">
        <f>P82/100*47*14.08</f>
        <v>36499.372800000005</v>
      </c>
      <c r="BI82" s="45">
        <f>P82/100*47*28.16</f>
        <v>72998.745600000009</v>
      </c>
      <c r="BJ82" s="45">
        <v>77364.524999999994</v>
      </c>
      <c r="BK82" s="86">
        <f t="shared" si="13"/>
        <v>186862.6434</v>
      </c>
      <c r="BL82" s="46">
        <f t="shared" si="12"/>
        <v>3.7327499999999993</v>
      </c>
      <c r="BM82" s="90">
        <f t="shared" si="14"/>
        <v>10.732749999999999</v>
      </c>
      <c r="BN82" s="61" t="s">
        <v>316</v>
      </c>
      <c r="BO82" s="61" t="s">
        <v>317</v>
      </c>
    </row>
    <row r="83" spans="1:67" s="54" customFormat="1" ht="45">
      <c r="A83" s="55" t="s">
        <v>464</v>
      </c>
      <c r="B83" s="56" t="s">
        <v>95</v>
      </c>
      <c r="C83" s="36" t="s">
        <v>372</v>
      </c>
      <c r="D83" s="37" t="s">
        <v>376</v>
      </c>
      <c r="E83" s="57" t="s">
        <v>29</v>
      </c>
      <c r="F83" s="57" t="s">
        <v>28</v>
      </c>
      <c r="G83" s="57" t="s">
        <v>28</v>
      </c>
      <c r="H83" s="57" t="s">
        <v>28</v>
      </c>
      <c r="I83" s="57" t="s">
        <v>28</v>
      </c>
      <c r="J83" s="57" t="s">
        <v>28</v>
      </c>
      <c r="K83" s="58">
        <v>2340</v>
      </c>
      <c r="L83" s="58">
        <v>151153</v>
      </c>
      <c r="M83" s="57" t="s">
        <v>30</v>
      </c>
      <c r="N83" s="58">
        <v>82879</v>
      </c>
      <c r="O83" s="59" t="s">
        <v>30</v>
      </c>
      <c r="P83" s="58">
        <f>L83/100*69</f>
        <v>104295.56999999999</v>
      </c>
      <c r="Q83" s="58">
        <v>68274</v>
      </c>
      <c r="R83" s="57" t="s">
        <v>30</v>
      </c>
      <c r="S83" s="56" t="s">
        <v>28</v>
      </c>
      <c r="T83" s="57" t="s">
        <v>28</v>
      </c>
      <c r="U83" s="58"/>
      <c r="V83" s="57" t="s">
        <v>29</v>
      </c>
      <c r="W83" s="58">
        <v>3286</v>
      </c>
      <c r="X83" s="58"/>
      <c r="Y83" s="58"/>
      <c r="Z83" s="59"/>
      <c r="AA83" s="58"/>
      <c r="AB83" s="58"/>
      <c r="AC83" s="58"/>
      <c r="AD83" s="59"/>
      <c r="AE83" s="58"/>
      <c r="AF83" s="58"/>
      <c r="AG83" s="59"/>
      <c r="AH83" s="58"/>
      <c r="AI83" s="58"/>
      <c r="AJ83" s="59"/>
      <c r="AK83" s="56" t="s">
        <v>28</v>
      </c>
      <c r="AL83" s="60"/>
      <c r="AM83" s="60"/>
      <c r="AN83" s="57" t="s">
        <v>29</v>
      </c>
      <c r="AO83" s="57" t="s">
        <v>29</v>
      </c>
      <c r="AP83" s="57"/>
      <c r="AQ83" s="56" t="s">
        <v>29</v>
      </c>
      <c r="AR83" s="56" t="s">
        <v>29</v>
      </c>
      <c r="AS83" s="56" t="s">
        <v>29</v>
      </c>
      <c r="AT83" s="56" t="s">
        <v>29</v>
      </c>
      <c r="AU83" s="56" t="s">
        <v>28</v>
      </c>
      <c r="AV83" s="56" t="s">
        <v>29</v>
      </c>
      <c r="AW83" s="56" t="s">
        <v>29</v>
      </c>
      <c r="AX83" s="56" t="s">
        <v>28</v>
      </c>
      <c r="AY83" s="56" t="s">
        <v>28</v>
      </c>
      <c r="AZ83" s="58">
        <v>10</v>
      </c>
      <c r="BA83" s="59" t="s">
        <v>31</v>
      </c>
      <c r="BB83" s="81">
        <v>520</v>
      </c>
      <c r="BC83" s="59" t="s">
        <v>31</v>
      </c>
      <c r="BD83" s="38">
        <f t="shared" ref="BD83:BD92" si="15">BB83/7*50</f>
        <v>3714.2857142857147</v>
      </c>
      <c r="BE83" s="46">
        <v>20.5</v>
      </c>
      <c r="BF83" s="59" t="s">
        <v>31</v>
      </c>
      <c r="BG83" s="57" t="s">
        <v>29</v>
      </c>
      <c r="BH83" s="45">
        <f>P83/100*31*11.29</f>
        <v>365024.065443</v>
      </c>
      <c r="BI83" s="45">
        <f>P83/100*31*22.59</f>
        <v>730371.44715300004</v>
      </c>
      <c r="BJ83" s="45">
        <v>60968.75</v>
      </c>
      <c r="BK83" s="86">
        <f t="shared" si="13"/>
        <v>1156364.262596</v>
      </c>
      <c r="BL83" s="46">
        <f>BE83*(1-0.25)*(1-0.25)*(1-0.375)*1.2</f>
        <v>8.6484375</v>
      </c>
      <c r="BM83" s="90">
        <f t="shared" si="14"/>
        <v>29.1484375</v>
      </c>
      <c r="BN83" s="61" t="s">
        <v>96</v>
      </c>
      <c r="BO83" s="61" t="s">
        <v>32</v>
      </c>
    </row>
    <row r="84" spans="1:67" s="54" customFormat="1" ht="45">
      <c r="A84" s="55" t="s">
        <v>341</v>
      </c>
      <c r="B84" s="56" t="s">
        <v>42</v>
      </c>
      <c r="C84" s="36" t="s">
        <v>373</v>
      </c>
      <c r="D84" s="37" t="s">
        <v>375</v>
      </c>
      <c r="E84" s="57" t="s">
        <v>29</v>
      </c>
      <c r="F84" s="57" t="s">
        <v>28</v>
      </c>
      <c r="G84" s="57" t="s">
        <v>28</v>
      </c>
      <c r="H84" s="57" t="s">
        <v>28</v>
      </c>
      <c r="I84" s="57" t="s">
        <v>28</v>
      </c>
      <c r="J84" s="57" t="s">
        <v>28</v>
      </c>
      <c r="K84" s="58">
        <v>2127</v>
      </c>
      <c r="L84" s="58">
        <v>26291</v>
      </c>
      <c r="M84" s="57" t="s">
        <v>30</v>
      </c>
      <c r="N84" s="58">
        <v>13145</v>
      </c>
      <c r="O84" s="59" t="s">
        <v>31</v>
      </c>
      <c r="P84" s="58">
        <f>L84/100*72</f>
        <v>18929.52</v>
      </c>
      <c r="Q84" s="58">
        <v>13146</v>
      </c>
      <c r="R84" s="57" t="s">
        <v>31</v>
      </c>
      <c r="S84" s="56" t="s">
        <v>28</v>
      </c>
      <c r="T84" s="57" t="s">
        <v>29</v>
      </c>
      <c r="U84" s="58">
        <v>11546</v>
      </c>
      <c r="V84" s="57" t="s">
        <v>28</v>
      </c>
      <c r="W84" s="58"/>
      <c r="X84" s="58">
        <v>80</v>
      </c>
      <c r="Y84" s="58">
        <v>2330</v>
      </c>
      <c r="Z84" s="59" t="s">
        <v>31</v>
      </c>
      <c r="AA84" s="58">
        <v>5</v>
      </c>
      <c r="AB84" s="58">
        <v>202</v>
      </c>
      <c r="AC84" s="58"/>
      <c r="AD84" s="59" t="s">
        <v>31</v>
      </c>
      <c r="AE84" s="58">
        <v>14</v>
      </c>
      <c r="AF84" s="58">
        <v>1102</v>
      </c>
      <c r="AG84" s="59" t="s">
        <v>31</v>
      </c>
      <c r="AH84" s="58">
        <v>1</v>
      </c>
      <c r="AI84" s="58">
        <v>139</v>
      </c>
      <c r="AJ84" s="59" t="s">
        <v>31</v>
      </c>
      <c r="AK84" s="56" t="s">
        <v>28</v>
      </c>
      <c r="AL84" s="60"/>
      <c r="AM84" s="60"/>
      <c r="AN84" s="57" t="s">
        <v>29</v>
      </c>
      <c r="AO84" s="57" t="s">
        <v>28</v>
      </c>
      <c r="AP84" s="57" t="s">
        <v>28</v>
      </c>
      <c r="AQ84" s="56" t="s">
        <v>29</v>
      </c>
      <c r="AR84" s="56" t="s">
        <v>28</v>
      </c>
      <c r="AS84" s="56" t="s">
        <v>28</v>
      </c>
      <c r="AT84" s="56" t="s">
        <v>29</v>
      </c>
      <c r="AU84" s="56" t="s">
        <v>28</v>
      </c>
      <c r="AV84" s="56" t="s">
        <v>28</v>
      </c>
      <c r="AW84" s="56" t="s">
        <v>28</v>
      </c>
      <c r="AX84" s="56" t="s">
        <v>28</v>
      </c>
      <c r="AY84" s="56" t="s">
        <v>28</v>
      </c>
      <c r="AZ84" s="58">
        <v>5</v>
      </c>
      <c r="BA84" s="59" t="s">
        <v>31</v>
      </c>
      <c r="BB84" s="81">
        <v>145</v>
      </c>
      <c r="BC84" s="59" t="s">
        <v>31</v>
      </c>
      <c r="BD84" s="38">
        <f t="shared" si="15"/>
        <v>1035.7142857142858</v>
      </c>
      <c r="BE84" s="46">
        <v>5.7</v>
      </c>
      <c r="BF84" s="59" t="s">
        <v>31</v>
      </c>
      <c r="BG84" s="57" t="s">
        <v>29</v>
      </c>
      <c r="BH84" s="45">
        <f>P84/100*44*12.91</f>
        <v>107527.24540799999</v>
      </c>
      <c r="BI84" s="45">
        <f>P84/100*44*25.82</f>
        <v>215054.49081599998</v>
      </c>
      <c r="BJ84" s="45">
        <v>95101.900337500017</v>
      </c>
      <c r="BK84" s="86">
        <f t="shared" si="13"/>
        <v>417683.63656150002</v>
      </c>
      <c r="BL84" s="46">
        <f>BE84*(1-0.25)*(1-0.21)*(1-0.25)*1.2</f>
        <v>3.0395250000000007</v>
      </c>
      <c r="BM84" s="90">
        <f t="shared" si="14"/>
        <v>8.7395250000000004</v>
      </c>
      <c r="BN84" s="61" t="s">
        <v>32</v>
      </c>
      <c r="BO84" s="61" t="s">
        <v>32</v>
      </c>
    </row>
    <row r="85" spans="1:67" s="54" customFormat="1" ht="45">
      <c r="A85" s="55" t="s">
        <v>167</v>
      </c>
      <c r="B85" s="56" t="s">
        <v>36</v>
      </c>
      <c r="C85" s="36" t="s">
        <v>370</v>
      </c>
      <c r="D85" s="37" t="s">
        <v>375</v>
      </c>
      <c r="E85" s="57" t="s">
        <v>29</v>
      </c>
      <c r="F85" s="57" t="s">
        <v>28</v>
      </c>
      <c r="G85" s="57" t="s">
        <v>28</v>
      </c>
      <c r="H85" s="57" t="s">
        <v>28</v>
      </c>
      <c r="I85" s="57" t="s">
        <v>28</v>
      </c>
      <c r="J85" s="57" t="s">
        <v>28</v>
      </c>
      <c r="K85" s="58">
        <v>2880</v>
      </c>
      <c r="L85" s="58">
        <v>15000</v>
      </c>
      <c r="M85" s="57" t="s">
        <v>31</v>
      </c>
      <c r="N85" s="58"/>
      <c r="O85" s="59"/>
      <c r="P85" s="58">
        <f>L85/100*72</f>
        <v>10800</v>
      </c>
      <c r="Q85" s="58"/>
      <c r="R85" s="57"/>
      <c r="S85" s="56" t="s">
        <v>168</v>
      </c>
      <c r="T85" s="57" t="s">
        <v>29</v>
      </c>
      <c r="U85" s="58"/>
      <c r="V85" s="57" t="s">
        <v>29</v>
      </c>
      <c r="W85" s="58">
        <v>2758</v>
      </c>
      <c r="X85" s="58">
        <v>6</v>
      </c>
      <c r="Y85" s="58">
        <v>161</v>
      </c>
      <c r="Z85" s="59" t="s">
        <v>30</v>
      </c>
      <c r="AA85" s="58">
        <v>0</v>
      </c>
      <c r="AB85" s="58"/>
      <c r="AC85" s="58">
        <v>6</v>
      </c>
      <c r="AD85" s="59" t="s">
        <v>30</v>
      </c>
      <c r="AE85" s="58">
        <v>21</v>
      </c>
      <c r="AF85" s="58">
        <v>450</v>
      </c>
      <c r="AG85" s="59" t="s">
        <v>31</v>
      </c>
      <c r="AH85" s="58">
        <v>1</v>
      </c>
      <c r="AI85" s="58">
        <v>60</v>
      </c>
      <c r="AJ85" s="59" t="s">
        <v>31</v>
      </c>
      <c r="AK85" s="56" t="s">
        <v>28</v>
      </c>
      <c r="AL85" s="60"/>
      <c r="AM85" s="60"/>
      <c r="AN85" s="57" t="s">
        <v>28</v>
      </c>
      <c r="AO85" s="57" t="s">
        <v>28</v>
      </c>
      <c r="AP85" s="57" t="s">
        <v>28</v>
      </c>
      <c r="AQ85" s="56" t="s">
        <v>28</v>
      </c>
      <c r="AR85" s="56" t="s">
        <v>28</v>
      </c>
      <c r="AS85" s="56" t="s">
        <v>28</v>
      </c>
      <c r="AT85" s="56" t="s">
        <v>29</v>
      </c>
      <c r="AU85" s="56" t="s">
        <v>28</v>
      </c>
      <c r="AV85" s="56" t="s">
        <v>28</v>
      </c>
      <c r="AW85" s="56" t="s">
        <v>29</v>
      </c>
      <c r="AX85" s="56" t="s">
        <v>28</v>
      </c>
      <c r="AY85" s="56" t="s">
        <v>28</v>
      </c>
      <c r="AZ85" s="58">
        <v>1</v>
      </c>
      <c r="BA85" s="59" t="s">
        <v>30</v>
      </c>
      <c r="BB85" s="81">
        <v>780</v>
      </c>
      <c r="BC85" s="59" t="s">
        <v>31</v>
      </c>
      <c r="BD85" s="38">
        <f t="shared" si="15"/>
        <v>5571.4285714285716</v>
      </c>
      <c r="BE85" s="46">
        <v>0.8</v>
      </c>
      <c r="BF85" s="59" t="s">
        <v>30</v>
      </c>
      <c r="BG85" s="57" t="s">
        <v>28</v>
      </c>
      <c r="BH85" s="45">
        <f>P85/100*44*17.99</f>
        <v>85488.48</v>
      </c>
      <c r="BI85" s="45">
        <f>P85/100*44*35.98</f>
        <v>170976.96</v>
      </c>
      <c r="BJ85" s="45">
        <v>18936.96875</v>
      </c>
      <c r="BK85" s="86">
        <f t="shared" si="13"/>
        <v>275402.40875</v>
      </c>
      <c r="BL85" s="46">
        <f>BE85*(1-0.25)*(1-0.21)*(1-0.25)*1.2</f>
        <v>0.42660000000000003</v>
      </c>
      <c r="BM85" s="90">
        <f t="shared" si="14"/>
        <v>1.2266000000000001</v>
      </c>
      <c r="BN85" s="61" t="s">
        <v>169</v>
      </c>
      <c r="BO85" s="61" t="s">
        <v>170</v>
      </c>
    </row>
    <row r="86" spans="1:67" s="54" customFormat="1" ht="30">
      <c r="A86" s="55" t="s">
        <v>401</v>
      </c>
      <c r="B86" s="56" t="s">
        <v>27</v>
      </c>
      <c r="C86" s="62" t="s">
        <v>371</v>
      </c>
      <c r="D86" s="39" t="s">
        <v>375</v>
      </c>
      <c r="E86" s="57" t="s">
        <v>28</v>
      </c>
      <c r="F86" s="57" t="s">
        <v>29</v>
      </c>
      <c r="G86" s="57" t="s">
        <v>28</v>
      </c>
      <c r="H86" s="57" t="s">
        <v>28</v>
      </c>
      <c r="I86" s="57" t="s">
        <v>28</v>
      </c>
      <c r="J86" s="57" t="s">
        <v>28</v>
      </c>
      <c r="K86" s="58">
        <v>1400</v>
      </c>
      <c r="L86" s="58">
        <v>25000</v>
      </c>
      <c r="M86" s="57" t="s">
        <v>31</v>
      </c>
      <c r="N86" s="58">
        <v>15000</v>
      </c>
      <c r="O86" s="59" t="s">
        <v>31</v>
      </c>
      <c r="P86" s="58">
        <f>L86/100*72</f>
        <v>18000</v>
      </c>
      <c r="Q86" s="58">
        <v>10000</v>
      </c>
      <c r="R86" s="57" t="s">
        <v>31</v>
      </c>
      <c r="S86" s="56" t="s">
        <v>78</v>
      </c>
      <c r="T86" s="57" t="s">
        <v>29</v>
      </c>
      <c r="U86" s="58">
        <v>153000</v>
      </c>
      <c r="V86" s="57" t="s">
        <v>29</v>
      </c>
      <c r="W86" s="58">
        <v>1800</v>
      </c>
      <c r="X86" s="58">
        <v>20</v>
      </c>
      <c r="Y86" s="58">
        <v>800</v>
      </c>
      <c r="Z86" s="59" t="s">
        <v>31</v>
      </c>
      <c r="AA86" s="58">
        <v>5</v>
      </c>
      <c r="AB86" s="58">
        <v>100</v>
      </c>
      <c r="AC86" s="58">
        <v>25</v>
      </c>
      <c r="AD86" s="59" t="s">
        <v>31</v>
      </c>
      <c r="AE86" s="58">
        <v>3</v>
      </c>
      <c r="AF86" s="58">
        <v>250</v>
      </c>
      <c r="AG86" s="59" t="s">
        <v>31</v>
      </c>
      <c r="AH86" s="58">
        <v>10</v>
      </c>
      <c r="AI86" s="58">
        <v>200</v>
      </c>
      <c r="AJ86" s="59" t="s">
        <v>31</v>
      </c>
      <c r="AK86" s="56" t="s">
        <v>28</v>
      </c>
      <c r="AL86" s="60"/>
      <c r="AM86" s="60"/>
      <c r="AN86" s="57" t="s">
        <v>29</v>
      </c>
      <c r="AO86" s="57" t="s">
        <v>29</v>
      </c>
      <c r="AP86" s="57"/>
      <c r="AQ86" s="56" t="s">
        <v>28</v>
      </c>
      <c r="AR86" s="56" t="s">
        <v>28</v>
      </c>
      <c r="AS86" s="56" t="s">
        <v>28</v>
      </c>
      <c r="AT86" s="56" t="s">
        <v>28</v>
      </c>
      <c r="AU86" s="56" t="s">
        <v>28</v>
      </c>
      <c r="AV86" s="56" t="s">
        <v>28</v>
      </c>
      <c r="AW86" s="56" t="s">
        <v>28</v>
      </c>
      <c r="AX86" s="56" t="s">
        <v>28</v>
      </c>
      <c r="AY86" s="56" t="s">
        <v>28</v>
      </c>
      <c r="AZ86" s="58">
        <v>50</v>
      </c>
      <c r="BA86" s="59" t="s">
        <v>31</v>
      </c>
      <c r="BB86" s="81">
        <v>1000</v>
      </c>
      <c r="BC86" s="59" t="s">
        <v>31</v>
      </c>
      <c r="BD86" s="38">
        <f t="shared" si="15"/>
        <v>7142.8571428571431</v>
      </c>
      <c r="BE86" s="46">
        <v>1</v>
      </c>
      <c r="BF86" s="59" t="s">
        <v>30</v>
      </c>
      <c r="BG86" s="57" t="s">
        <v>29</v>
      </c>
      <c r="BH86" s="45">
        <f>P86/100*44*12.86</f>
        <v>101851.2</v>
      </c>
      <c r="BI86" s="45">
        <f>P86/100*44*25.73</f>
        <v>203781.6</v>
      </c>
      <c r="BJ86" s="45">
        <v>74561.462499999994</v>
      </c>
      <c r="BK86" s="86">
        <f t="shared" si="13"/>
        <v>380194.26249999995</v>
      </c>
      <c r="BL86" s="46">
        <f>BE86*(1-0.25)*(1-0.21)*(1-0.25)*1.2</f>
        <v>0.53325</v>
      </c>
      <c r="BM86" s="90">
        <f t="shared" si="14"/>
        <v>1.53325</v>
      </c>
      <c r="BN86" s="61" t="s">
        <v>79</v>
      </c>
      <c r="BO86" s="61" t="s">
        <v>80</v>
      </c>
    </row>
    <row r="87" spans="1:67" s="54" customFormat="1" ht="60">
      <c r="A87" s="55" t="s">
        <v>256</v>
      </c>
      <c r="B87" s="56" t="s">
        <v>42</v>
      </c>
      <c r="C87" s="36" t="s">
        <v>372</v>
      </c>
      <c r="D87" s="37" t="s">
        <v>377</v>
      </c>
      <c r="E87" s="57" t="s">
        <v>28</v>
      </c>
      <c r="F87" s="57" t="s">
        <v>28</v>
      </c>
      <c r="G87" s="57" t="s">
        <v>29</v>
      </c>
      <c r="H87" s="57" t="s">
        <v>28</v>
      </c>
      <c r="I87" s="57" t="s">
        <v>28</v>
      </c>
      <c r="J87" s="57" t="s">
        <v>28</v>
      </c>
      <c r="K87" s="58">
        <v>1548</v>
      </c>
      <c r="L87" s="58">
        <v>3772</v>
      </c>
      <c r="M87" s="57" t="s">
        <v>30</v>
      </c>
      <c r="N87" s="58"/>
      <c r="O87" s="59"/>
      <c r="P87" s="58">
        <f>L87/100*75</f>
        <v>2829</v>
      </c>
      <c r="Q87" s="58"/>
      <c r="R87" s="57"/>
      <c r="S87" s="56" t="s">
        <v>257</v>
      </c>
      <c r="T87" s="57" t="s">
        <v>28</v>
      </c>
      <c r="U87" s="58">
        <v>2971</v>
      </c>
      <c r="V87" s="57" t="s">
        <v>29</v>
      </c>
      <c r="W87" s="58">
        <v>822</v>
      </c>
      <c r="X87" s="58"/>
      <c r="Y87" s="58"/>
      <c r="Z87" s="59" t="s">
        <v>30</v>
      </c>
      <c r="AA87" s="58">
        <v>268</v>
      </c>
      <c r="AB87" s="58">
        <v>8400</v>
      </c>
      <c r="AC87" s="58">
        <v>49</v>
      </c>
      <c r="AD87" s="59" t="s">
        <v>30</v>
      </c>
      <c r="AE87" s="58">
        <v>25</v>
      </c>
      <c r="AF87" s="58">
        <v>250</v>
      </c>
      <c r="AG87" s="59" t="s">
        <v>31</v>
      </c>
      <c r="AH87" s="58">
        <v>15</v>
      </c>
      <c r="AI87" s="58">
        <v>250</v>
      </c>
      <c r="AJ87" s="59" t="s">
        <v>31</v>
      </c>
      <c r="AK87" s="56" t="s">
        <v>28</v>
      </c>
      <c r="AL87" s="60"/>
      <c r="AM87" s="60"/>
      <c r="AN87" s="57" t="s">
        <v>28</v>
      </c>
      <c r="AO87" s="57" t="s">
        <v>28</v>
      </c>
      <c r="AP87" s="57" t="s">
        <v>28</v>
      </c>
      <c r="AQ87" s="56" t="s">
        <v>29</v>
      </c>
      <c r="AR87" s="56" t="s">
        <v>28</v>
      </c>
      <c r="AS87" s="56" t="s">
        <v>29</v>
      </c>
      <c r="AT87" s="56" t="s">
        <v>28</v>
      </c>
      <c r="AU87" s="56" t="s">
        <v>28</v>
      </c>
      <c r="AV87" s="56" t="s">
        <v>28</v>
      </c>
      <c r="AW87" s="56" t="s">
        <v>28</v>
      </c>
      <c r="AX87" s="56" t="s">
        <v>28</v>
      </c>
      <c r="AY87" s="56" t="s">
        <v>28</v>
      </c>
      <c r="AZ87" s="58">
        <v>12</v>
      </c>
      <c r="BA87" s="59" t="s">
        <v>30</v>
      </c>
      <c r="BB87" s="81">
        <v>1430</v>
      </c>
      <c r="BC87" s="59" t="s">
        <v>30</v>
      </c>
      <c r="BD87" s="38">
        <f t="shared" si="15"/>
        <v>10214.285714285714</v>
      </c>
      <c r="BE87" s="46">
        <v>7</v>
      </c>
      <c r="BF87" s="59" t="s">
        <v>30</v>
      </c>
      <c r="BG87" s="57" t="s">
        <v>29</v>
      </c>
      <c r="BH87" s="45">
        <f>P87/100*47*11.29</f>
        <v>15011.522699999998</v>
      </c>
      <c r="BI87" s="45">
        <f>P87/100*47*22.59</f>
        <v>30036.341699999997</v>
      </c>
      <c r="BJ87" s="45">
        <v>824700.49112500006</v>
      </c>
      <c r="BK87" s="86">
        <f t="shared" si="13"/>
        <v>869748.35552500002</v>
      </c>
      <c r="BL87" s="46">
        <f>BE87*(1-0.25)*(1-0.21)*(1-0.25)*1.2</f>
        <v>3.7327499999999993</v>
      </c>
      <c r="BM87" s="90">
        <f t="shared" si="14"/>
        <v>10.732749999999999</v>
      </c>
      <c r="BN87" s="61" t="s">
        <v>258</v>
      </c>
      <c r="BO87" s="61" t="s">
        <v>259</v>
      </c>
    </row>
    <row r="88" spans="1:67" s="54" customFormat="1" ht="45">
      <c r="A88" s="55" t="s">
        <v>402</v>
      </c>
      <c r="B88" s="56" t="s">
        <v>42</v>
      </c>
      <c r="C88" s="36" t="s">
        <v>369</v>
      </c>
      <c r="D88" s="37" t="s">
        <v>376</v>
      </c>
      <c r="E88" s="57" t="s">
        <v>29</v>
      </c>
      <c r="F88" s="57" t="s">
        <v>28</v>
      </c>
      <c r="G88" s="57" t="s">
        <v>28</v>
      </c>
      <c r="H88" s="57" t="s">
        <v>28</v>
      </c>
      <c r="I88" s="57" t="s">
        <v>28</v>
      </c>
      <c r="J88" s="57" t="s">
        <v>28</v>
      </c>
      <c r="K88" s="58">
        <v>2237</v>
      </c>
      <c r="L88" s="58">
        <v>222294</v>
      </c>
      <c r="M88" s="57" t="s">
        <v>30</v>
      </c>
      <c r="N88" s="58">
        <v>141569</v>
      </c>
      <c r="O88" s="59" t="s">
        <v>31</v>
      </c>
      <c r="P88" s="58">
        <f>L88/100*69</f>
        <v>153382.86000000002</v>
      </c>
      <c r="Q88" s="58">
        <v>80725</v>
      </c>
      <c r="R88" s="57" t="s">
        <v>31</v>
      </c>
      <c r="S88" s="56" t="s">
        <v>347</v>
      </c>
      <c r="T88" s="57" t="s">
        <v>29</v>
      </c>
      <c r="U88" s="58">
        <v>108905</v>
      </c>
      <c r="V88" s="57" t="s">
        <v>28</v>
      </c>
      <c r="W88" s="58"/>
      <c r="X88" s="58">
        <v>980</v>
      </c>
      <c r="Y88" s="58">
        <v>23542</v>
      </c>
      <c r="Z88" s="59" t="s">
        <v>31</v>
      </c>
      <c r="AA88" s="58">
        <v>3</v>
      </c>
      <c r="AB88" s="58">
        <v>473</v>
      </c>
      <c r="AC88" s="58"/>
      <c r="AD88" s="59" t="s">
        <v>30</v>
      </c>
      <c r="AE88" s="58">
        <v>1091</v>
      </c>
      <c r="AF88" s="58">
        <v>37452</v>
      </c>
      <c r="AG88" s="59" t="s">
        <v>31</v>
      </c>
      <c r="AH88" s="58">
        <v>3</v>
      </c>
      <c r="AI88" s="58">
        <v>1692</v>
      </c>
      <c r="AJ88" s="59" t="s">
        <v>31</v>
      </c>
      <c r="AK88" s="56" t="s">
        <v>29</v>
      </c>
      <c r="AL88" s="60">
        <v>9.5</v>
      </c>
      <c r="AM88" s="60">
        <v>8.1</v>
      </c>
      <c r="AN88" s="57" t="s">
        <v>29</v>
      </c>
      <c r="AO88" s="57" t="s">
        <v>29</v>
      </c>
      <c r="AP88" s="57"/>
      <c r="AQ88" s="56" t="s">
        <v>28</v>
      </c>
      <c r="AR88" s="56" t="s">
        <v>28</v>
      </c>
      <c r="AS88" s="56" t="s">
        <v>28</v>
      </c>
      <c r="AT88" s="56" t="s">
        <v>28</v>
      </c>
      <c r="AU88" s="56" t="s">
        <v>28</v>
      </c>
      <c r="AV88" s="56" t="s">
        <v>28</v>
      </c>
      <c r="AW88" s="56" t="s">
        <v>28</v>
      </c>
      <c r="AX88" s="56" t="s">
        <v>28</v>
      </c>
      <c r="AY88" s="56" t="s">
        <v>28</v>
      </c>
      <c r="AZ88" s="58">
        <v>74</v>
      </c>
      <c r="BA88" s="59" t="s">
        <v>31</v>
      </c>
      <c r="BB88" s="81">
        <v>12792</v>
      </c>
      <c r="BC88" s="59" t="s">
        <v>31</v>
      </c>
      <c r="BD88" s="38">
        <f t="shared" si="15"/>
        <v>91371.428571428565</v>
      </c>
      <c r="BE88" s="46">
        <v>95.86</v>
      </c>
      <c r="BF88" s="59" t="s">
        <v>31</v>
      </c>
      <c r="BG88" s="57" t="s">
        <v>29</v>
      </c>
      <c r="BH88" s="45">
        <f>P88/100*31*14.08</f>
        <v>669485.50732800004</v>
      </c>
      <c r="BI88" s="45">
        <f>P88/100*31*28.16</f>
        <v>1338971.0146560001</v>
      </c>
      <c r="BJ88" s="45">
        <v>958304.37375000003</v>
      </c>
      <c r="BK88" s="86">
        <f t="shared" si="13"/>
        <v>2966760.895734</v>
      </c>
      <c r="BL88" s="46">
        <f>BE88*(1-0.25)*(1-0.25)*(1-0.375)*1.2</f>
        <v>40.440937499999997</v>
      </c>
      <c r="BM88" s="90">
        <f t="shared" si="14"/>
        <v>136.3009375</v>
      </c>
      <c r="BN88" s="61" t="s">
        <v>32</v>
      </c>
      <c r="BO88" s="61" t="s">
        <v>32</v>
      </c>
    </row>
    <row r="89" spans="1:67" s="54" customFormat="1" ht="30">
      <c r="A89" s="55" t="s">
        <v>290</v>
      </c>
      <c r="B89" s="56" t="s">
        <v>27</v>
      </c>
      <c r="C89" s="36" t="s">
        <v>370</v>
      </c>
      <c r="D89" s="37" t="s">
        <v>377</v>
      </c>
      <c r="E89" s="57" t="s">
        <v>28</v>
      </c>
      <c r="F89" s="57" t="s">
        <v>29</v>
      </c>
      <c r="G89" s="57" t="s">
        <v>28</v>
      </c>
      <c r="H89" s="57" t="s">
        <v>28</v>
      </c>
      <c r="I89" s="57" t="s">
        <v>28</v>
      </c>
      <c r="J89" s="57" t="s">
        <v>28</v>
      </c>
      <c r="K89" s="58">
        <v>731</v>
      </c>
      <c r="L89" s="58">
        <v>1000</v>
      </c>
      <c r="M89" s="57" t="s">
        <v>31</v>
      </c>
      <c r="N89" s="58">
        <v>920</v>
      </c>
      <c r="O89" s="59" t="s">
        <v>31</v>
      </c>
      <c r="P89" s="58">
        <f>L89/100*72</f>
        <v>720</v>
      </c>
      <c r="Q89" s="58">
        <v>80</v>
      </c>
      <c r="R89" s="57" t="s">
        <v>31</v>
      </c>
      <c r="S89" s="56" t="s">
        <v>28</v>
      </c>
      <c r="T89" s="57" t="s">
        <v>29</v>
      </c>
      <c r="U89" s="58"/>
      <c r="V89" s="57" t="s">
        <v>29</v>
      </c>
      <c r="W89" s="58">
        <v>243</v>
      </c>
      <c r="X89" s="58">
        <v>4</v>
      </c>
      <c r="Y89" s="58">
        <v>80</v>
      </c>
      <c r="Z89" s="59" t="s">
        <v>31</v>
      </c>
      <c r="AA89" s="58">
        <v>0</v>
      </c>
      <c r="AB89" s="58">
        <v>0</v>
      </c>
      <c r="AC89" s="58">
        <v>2</v>
      </c>
      <c r="AD89" s="59" t="s">
        <v>31</v>
      </c>
      <c r="AE89" s="58">
        <v>20</v>
      </c>
      <c r="AF89" s="58">
        <v>350</v>
      </c>
      <c r="AG89" s="59" t="s">
        <v>31</v>
      </c>
      <c r="AH89" s="58">
        <v>3</v>
      </c>
      <c r="AI89" s="58">
        <v>50</v>
      </c>
      <c r="AJ89" s="59" t="s">
        <v>31</v>
      </c>
      <c r="AK89" s="56" t="s">
        <v>29</v>
      </c>
      <c r="AL89" s="60">
        <v>4.5</v>
      </c>
      <c r="AM89" s="60">
        <v>0</v>
      </c>
      <c r="AN89" s="57" t="s">
        <v>29</v>
      </c>
      <c r="AO89" s="57" t="s">
        <v>29</v>
      </c>
      <c r="AP89" s="57"/>
      <c r="AQ89" s="56" t="s">
        <v>28</v>
      </c>
      <c r="AR89" s="56" t="s">
        <v>28</v>
      </c>
      <c r="AS89" s="56" t="s">
        <v>28</v>
      </c>
      <c r="AT89" s="56" t="s">
        <v>29</v>
      </c>
      <c r="AU89" s="56" t="s">
        <v>28</v>
      </c>
      <c r="AV89" s="56" t="s">
        <v>28</v>
      </c>
      <c r="AW89" s="56" t="s">
        <v>28</v>
      </c>
      <c r="AX89" s="56" t="s">
        <v>28</v>
      </c>
      <c r="AY89" s="56" t="s">
        <v>28</v>
      </c>
      <c r="AZ89" s="58">
        <v>60</v>
      </c>
      <c r="BA89" s="59" t="s">
        <v>31</v>
      </c>
      <c r="BB89" s="81">
        <v>2020</v>
      </c>
      <c r="BC89" s="59" t="s">
        <v>31</v>
      </c>
      <c r="BD89" s="38">
        <f t="shared" si="15"/>
        <v>14428.571428571428</v>
      </c>
      <c r="BE89" s="46">
        <v>0.4</v>
      </c>
      <c r="BF89" s="59" t="s">
        <v>31</v>
      </c>
      <c r="BG89" s="57" t="s">
        <v>29</v>
      </c>
      <c r="BH89" s="45">
        <f>P89/100*44*17.99</f>
        <v>5699.232</v>
      </c>
      <c r="BI89" s="45">
        <f>P89/100*44*35.98</f>
        <v>11398.464</v>
      </c>
      <c r="BJ89" s="45">
        <v>22815.625</v>
      </c>
      <c r="BK89" s="86">
        <f t="shared" si="13"/>
        <v>39913.320999999996</v>
      </c>
      <c r="BL89" s="46">
        <f>BE89*(1-0.25)*(1-0.21)*(1-0.25)*1.2</f>
        <v>0.21330000000000002</v>
      </c>
      <c r="BM89" s="90">
        <f t="shared" si="14"/>
        <v>0.61330000000000007</v>
      </c>
      <c r="BN89" s="61" t="s">
        <v>61</v>
      </c>
      <c r="BO89" s="61" t="s">
        <v>291</v>
      </c>
    </row>
    <row r="90" spans="1:67" s="54" customFormat="1" ht="45">
      <c r="A90" s="55" t="s">
        <v>60</v>
      </c>
      <c r="B90" s="56" t="s">
        <v>27</v>
      </c>
      <c r="C90" s="62" t="s">
        <v>371</v>
      </c>
      <c r="D90" s="37" t="s">
        <v>375</v>
      </c>
      <c r="E90" s="57" t="s">
        <v>28</v>
      </c>
      <c r="F90" s="57" t="s">
        <v>29</v>
      </c>
      <c r="G90" s="57" t="s">
        <v>28</v>
      </c>
      <c r="H90" s="57" t="s">
        <v>28</v>
      </c>
      <c r="I90" s="57" t="s">
        <v>28</v>
      </c>
      <c r="J90" s="57" t="s">
        <v>28</v>
      </c>
      <c r="K90" s="58">
        <v>1795</v>
      </c>
      <c r="L90" s="58">
        <v>31054</v>
      </c>
      <c r="M90" s="57" t="s">
        <v>30</v>
      </c>
      <c r="N90" s="58">
        <v>22876</v>
      </c>
      <c r="O90" s="59" t="s">
        <v>30</v>
      </c>
      <c r="P90" s="58">
        <f>L90/100*72</f>
        <v>22358.880000000001</v>
      </c>
      <c r="Q90" s="58">
        <v>8178</v>
      </c>
      <c r="R90" s="57" t="s">
        <v>30</v>
      </c>
      <c r="S90" s="56" t="s">
        <v>130</v>
      </c>
      <c r="T90" s="57" t="s">
        <v>29</v>
      </c>
      <c r="U90" s="58"/>
      <c r="V90" s="57" t="s">
        <v>29</v>
      </c>
      <c r="W90" s="58">
        <v>300</v>
      </c>
      <c r="X90" s="58"/>
      <c r="Y90" s="58"/>
      <c r="Z90" s="59" t="s">
        <v>30</v>
      </c>
      <c r="AA90" s="58"/>
      <c r="AB90" s="58"/>
      <c r="AC90" s="58"/>
      <c r="AD90" s="59" t="s">
        <v>30</v>
      </c>
      <c r="AE90" s="58"/>
      <c r="AF90" s="58"/>
      <c r="AG90" s="59" t="s">
        <v>30</v>
      </c>
      <c r="AH90" s="58"/>
      <c r="AI90" s="58"/>
      <c r="AJ90" s="59" t="s">
        <v>30</v>
      </c>
      <c r="AK90" s="56" t="s">
        <v>28</v>
      </c>
      <c r="AL90" s="60"/>
      <c r="AM90" s="60"/>
      <c r="AN90" s="57" t="s">
        <v>29</v>
      </c>
      <c r="AO90" s="57" t="s">
        <v>28</v>
      </c>
      <c r="AP90" s="57" t="s">
        <v>28</v>
      </c>
      <c r="AQ90" s="56" t="s">
        <v>28</v>
      </c>
      <c r="AR90" s="56" t="s">
        <v>28</v>
      </c>
      <c r="AS90" s="56" t="s">
        <v>28</v>
      </c>
      <c r="AT90" s="56" t="s">
        <v>28</v>
      </c>
      <c r="AU90" s="56" t="s">
        <v>28</v>
      </c>
      <c r="AV90" s="56" t="s">
        <v>28</v>
      </c>
      <c r="AW90" s="56" t="s">
        <v>28</v>
      </c>
      <c r="AX90" s="56" t="s">
        <v>131</v>
      </c>
      <c r="AY90" s="56" t="s">
        <v>28</v>
      </c>
      <c r="AZ90" s="58">
        <v>20</v>
      </c>
      <c r="BA90" s="59" t="s">
        <v>30</v>
      </c>
      <c r="BB90" s="81">
        <v>6000</v>
      </c>
      <c r="BC90" s="59" t="s">
        <v>31</v>
      </c>
      <c r="BD90" s="38">
        <f t="shared" si="15"/>
        <v>42857.142857142855</v>
      </c>
      <c r="BE90" s="46">
        <v>0</v>
      </c>
      <c r="BF90" s="59" t="s">
        <v>30</v>
      </c>
      <c r="BG90" s="57" t="s">
        <v>28</v>
      </c>
      <c r="BH90" s="45">
        <f>P90/100*44*12.86</f>
        <v>126515.48659200002</v>
      </c>
      <c r="BI90" s="45">
        <f>P90/100*44*25.73</f>
        <v>253129.35225600004</v>
      </c>
      <c r="BJ90" s="45">
        <v>12389.810037499999</v>
      </c>
      <c r="BK90" s="86">
        <f t="shared" si="13"/>
        <v>392034.64888550004</v>
      </c>
      <c r="BL90" s="46">
        <f>BE90*(1-0.25)*(1-0.21)*(1-0.25)*1.2</f>
        <v>0</v>
      </c>
      <c r="BM90" s="90">
        <f t="shared" si="14"/>
        <v>0</v>
      </c>
      <c r="BN90" s="61" t="s">
        <v>132</v>
      </c>
      <c r="BO90" s="61" t="s">
        <v>133</v>
      </c>
    </row>
    <row r="91" spans="1:67" s="54" customFormat="1" ht="75">
      <c r="A91" s="55" t="s">
        <v>444</v>
      </c>
      <c r="B91" s="56" t="s">
        <v>27</v>
      </c>
      <c r="C91" s="62" t="s">
        <v>371</v>
      </c>
      <c r="D91" s="37" t="s">
        <v>375</v>
      </c>
      <c r="E91" s="57" t="s">
        <v>29</v>
      </c>
      <c r="F91" s="57" t="s">
        <v>28</v>
      </c>
      <c r="G91" s="57" t="s">
        <v>28</v>
      </c>
      <c r="H91" s="57" t="s">
        <v>28</v>
      </c>
      <c r="I91" s="57" t="s">
        <v>28</v>
      </c>
      <c r="J91" s="57" t="s">
        <v>28</v>
      </c>
      <c r="K91" s="58">
        <v>2541</v>
      </c>
      <c r="L91" s="58">
        <v>29052</v>
      </c>
      <c r="M91" s="57" t="s">
        <v>30</v>
      </c>
      <c r="N91" s="58">
        <v>23907</v>
      </c>
      <c r="O91" s="59" t="s">
        <v>30</v>
      </c>
      <c r="P91" s="58">
        <f>L91/100*72</f>
        <v>20917.439999999999</v>
      </c>
      <c r="Q91" s="58">
        <v>5146</v>
      </c>
      <c r="R91" s="57" t="s">
        <v>30</v>
      </c>
      <c r="S91" s="56" t="s">
        <v>253</v>
      </c>
      <c r="T91" s="57" t="s">
        <v>29</v>
      </c>
      <c r="U91" s="58">
        <v>66146</v>
      </c>
      <c r="V91" s="57" t="s">
        <v>29</v>
      </c>
      <c r="W91" s="58">
        <v>5433</v>
      </c>
      <c r="X91" s="58"/>
      <c r="Y91" s="58">
        <v>2800</v>
      </c>
      <c r="Z91" s="59" t="s">
        <v>31</v>
      </c>
      <c r="AA91" s="58">
        <v>1</v>
      </c>
      <c r="AB91" s="58">
        <v>30</v>
      </c>
      <c r="AC91" s="58">
        <v>12</v>
      </c>
      <c r="AD91" s="59" t="s">
        <v>31</v>
      </c>
      <c r="AE91" s="58">
        <v>12</v>
      </c>
      <c r="AF91" s="58"/>
      <c r="AG91" s="59" t="s">
        <v>31</v>
      </c>
      <c r="AH91" s="58">
        <v>3</v>
      </c>
      <c r="AI91" s="58">
        <v>200</v>
      </c>
      <c r="AJ91" s="59" t="s">
        <v>31</v>
      </c>
      <c r="AK91" s="56" t="s">
        <v>29</v>
      </c>
      <c r="AL91" s="60">
        <v>12</v>
      </c>
      <c r="AM91" s="60">
        <v>7</v>
      </c>
      <c r="AN91" s="57" t="s">
        <v>29</v>
      </c>
      <c r="AO91" s="57" t="s">
        <v>28</v>
      </c>
      <c r="AP91" s="57" t="s">
        <v>29</v>
      </c>
      <c r="AQ91" s="56" t="s">
        <v>28</v>
      </c>
      <c r="AR91" s="56" t="s">
        <v>29</v>
      </c>
      <c r="AS91" s="56" t="s">
        <v>29</v>
      </c>
      <c r="AT91" s="56" t="s">
        <v>29</v>
      </c>
      <c r="AU91" s="56" t="s">
        <v>28</v>
      </c>
      <c r="AV91" s="56" t="s">
        <v>28</v>
      </c>
      <c r="AW91" s="56" t="s">
        <v>29</v>
      </c>
      <c r="AX91" s="56" t="s">
        <v>28</v>
      </c>
      <c r="AY91" s="56" t="s">
        <v>254</v>
      </c>
      <c r="AZ91" s="58">
        <v>81</v>
      </c>
      <c r="BA91" s="59" t="s">
        <v>30</v>
      </c>
      <c r="BB91" s="81">
        <v>6580</v>
      </c>
      <c r="BC91" s="59" t="s">
        <v>30</v>
      </c>
      <c r="BD91" s="38">
        <f t="shared" si="15"/>
        <v>47000</v>
      </c>
      <c r="BE91" s="46">
        <v>31</v>
      </c>
      <c r="BF91" s="59" t="s">
        <v>30</v>
      </c>
      <c r="BG91" s="57" t="s">
        <v>29</v>
      </c>
      <c r="BH91" s="45">
        <f>P91/100*44*12.86</f>
        <v>118359.24249599999</v>
      </c>
      <c r="BI91" s="45">
        <f>P91/100*44*25.73</f>
        <v>236810.52172799999</v>
      </c>
      <c r="BJ91" s="45">
        <v>1355716.1712499999</v>
      </c>
      <c r="BK91" s="86">
        <f t="shared" si="13"/>
        <v>1710885.9354739999</v>
      </c>
      <c r="BL91" s="46">
        <f>BE91*(1-0.25)*(1-0.21)*(1-0.25)*1.2</f>
        <v>16.530749999999998</v>
      </c>
      <c r="BM91" s="90">
        <f t="shared" si="14"/>
        <v>47.530749999999998</v>
      </c>
      <c r="BN91" s="61" t="s">
        <v>50</v>
      </c>
      <c r="BO91" s="61" t="s">
        <v>255</v>
      </c>
    </row>
    <row r="92" spans="1:67" s="54" customFormat="1">
      <c r="A92" s="55" t="s">
        <v>332</v>
      </c>
      <c r="B92" s="56" t="s">
        <v>27</v>
      </c>
      <c r="C92" s="36" t="s">
        <v>374</v>
      </c>
      <c r="D92" s="37" t="s">
        <v>377</v>
      </c>
      <c r="E92" s="57" t="s">
        <v>28</v>
      </c>
      <c r="F92" s="57" t="s">
        <v>29</v>
      </c>
      <c r="G92" s="57" t="s">
        <v>28</v>
      </c>
      <c r="H92" s="57" t="s">
        <v>28</v>
      </c>
      <c r="I92" s="57" t="s">
        <v>28</v>
      </c>
      <c r="J92" s="57" t="s">
        <v>28</v>
      </c>
      <c r="K92" s="58">
        <v>708</v>
      </c>
      <c r="L92" s="58">
        <v>6663</v>
      </c>
      <c r="M92" s="57" t="s">
        <v>30</v>
      </c>
      <c r="N92" s="58">
        <v>4769</v>
      </c>
      <c r="O92" s="59" t="s">
        <v>30</v>
      </c>
      <c r="P92" s="58">
        <f>L92/100*75</f>
        <v>4997.25</v>
      </c>
      <c r="Q92" s="58">
        <v>1023</v>
      </c>
      <c r="R92" s="57" t="s">
        <v>30</v>
      </c>
      <c r="S92" s="56" t="s">
        <v>61</v>
      </c>
      <c r="T92" s="57" t="s">
        <v>29</v>
      </c>
      <c r="U92" s="58">
        <v>4800</v>
      </c>
      <c r="V92" s="57" t="s">
        <v>32</v>
      </c>
      <c r="W92" s="58">
        <v>1743</v>
      </c>
      <c r="X92" s="58">
        <v>5</v>
      </c>
      <c r="Y92" s="58">
        <v>284</v>
      </c>
      <c r="Z92" s="59" t="s">
        <v>30</v>
      </c>
      <c r="AA92" s="58">
        <v>1</v>
      </c>
      <c r="AB92" s="58">
        <v>50</v>
      </c>
      <c r="AC92" s="58">
        <v>6</v>
      </c>
      <c r="AD92" s="59" t="s">
        <v>30</v>
      </c>
      <c r="AE92" s="58">
        <v>5</v>
      </c>
      <c r="AF92" s="58">
        <v>73</v>
      </c>
      <c r="AG92" s="59" t="s">
        <v>30</v>
      </c>
      <c r="AH92" s="58">
        <v>17</v>
      </c>
      <c r="AI92" s="58">
        <v>545</v>
      </c>
      <c r="AJ92" s="59" t="s">
        <v>30</v>
      </c>
      <c r="AK92" s="56" t="s">
        <v>28</v>
      </c>
      <c r="AL92" s="60"/>
      <c r="AM92" s="60"/>
      <c r="AN92" s="57" t="s">
        <v>29</v>
      </c>
      <c r="AO92" s="57" t="s">
        <v>29</v>
      </c>
      <c r="AP92" s="57"/>
      <c r="AQ92" s="56" t="s">
        <v>29</v>
      </c>
      <c r="AR92" s="56" t="s">
        <v>28</v>
      </c>
      <c r="AS92" s="56" t="s">
        <v>29</v>
      </c>
      <c r="AT92" s="56" t="s">
        <v>28</v>
      </c>
      <c r="AU92" s="56" t="s">
        <v>28</v>
      </c>
      <c r="AV92" s="56" t="s">
        <v>28</v>
      </c>
      <c r="AW92" s="56" t="s">
        <v>28</v>
      </c>
      <c r="AX92" s="56" t="s">
        <v>28</v>
      </c>
      <c r="AY92" s="56" t="s">
        <v>28</v>
      </c>
      <c r="AZ92" s="58">
        <v>24</v>
      </c>
      <c r="BA92" s="59" t="s">
        <v>30</v>
      </c>
      <c r="BB92" s="81">
        <v>1890</v>
      </c>
      <c r="BC92" s="59" t="s">
        <v>30</v>
      </c>
      <c r="BD92" s="38">
        <f t="shared" si="15"/>
        <v>13500</v>
      </c>
      <c r="BE92" s="46">
        <v>2.52</v>
      </c>
      <c r="BF92" s="59" t="s">
        <v>30</v>
      </c>
      <c r="BG92" s="57" t="s">
        <v>28</v>
      </c>
      <c r="BH92" s="45">
        <f>P92/100*47*8.9</f>
        <v>20903.496750000002</v>
      </c>
      <c r="BI92" s="45">
        <f>P92/100*47*17.79</f>
        <v>41783.506425</v>
      </c>
      <c r="BJ92" s="45">
        <v>56256.8125</v>
      </c>
      <c r="BK92" s="86">
        <f t="shared" si="13"/>
        <v>118943.81567500001</v>
      </c>
      <c r="BL92" s="46">
        <f>BE92*(1-0.25)*(1-0.21)*(1-0.25)*1.2</f>
        <v>1.34379</v>
      </c>
      <c r="BM92" s="90">
        <f t="shared" si="14"/>
        <v>3.8637899999999998</v>
      </c>
      <c r="BN92" s="61" t="s">
        <v>333</v>
      </c>
      <c r="BO92" s="61" t="s">
        <v>32</v>
      </c>
    </row>
    <row r="93" spans="1:67" s="54" customFormat="1" ht="30">
      <c r="A93" s="55" t="s">
        <v>112</v>
      </c>
      <c r="B93" s="56" t="s">
        <v>113</v>
      </c>
      <c r="C93" s="36" t="s">
        <v>373</v>
      </c>
      <c r="D93" s="37" t="s">
        <v>375</v>
      </c>
      <c r="E93" s="57" t="s">
        <v>28</v>
      </c>
      <c r="F93" s="57" t="s">
        <v>29</v>
      </c>
      <c r="G93" s="57" t="s">
        <v>28</v>
      </c>
      <c r="H93" s="57" t="s">
        <v>28</v>
      </c>
      <c r="I93" s="57" t="s">
        <v>28</v>
      </c>
      <c r="J93" s="57" t="s">
        <v>28</v>
      </c>
      <c r="K93" s="58"/>
      <c r="L93" s="58">
        <v>21375</v>
      </c>
      <c r="M93" s="57" t="s">
        <v>30</v>
      </c>
      <c r="N93" s="58"/>
      <c r="O93" s="59"/>
      <c r="P93" s="58">
        <f>L93/100*72</f>
        <v>15390</v>
      </c>
      <c r="Q93" s="58"/>
      <c r="R93" s="57"/>
      <c r="S93" s="56" t="s">
        <v>86</v>
      </c>
      <c r="T93" s="57" t="s">
        <v>29</v>
      </c>
      <c r="U93" s="58"/>
      <c r="V93" s="57" t="s">
        <v>29</v>
      </c>
      <c r="W93" s="58">
        <v>1957</v>
      </c>
      <c r="X93" s="58"/>
      <c r="Y93" s="58"/>
      <c r="Z93" s="59"/>
      <c r="AA93" s="58"/>
      <c r="AB93" s="58"/>
      <c r="AC93" s="58"/>
      <c r="AD93" s="59"/>
      <c r="AE93" s="58"/>
      <c r="AF93" s="58"/>
      <c r="AG93" s="59"/>
      <c r="AH93" s="58"/>
      <c r="AI93" s="58"/>
      <c r="AJ93" s="59"/>
      <c r="AK93" s="56" t="s">
        <v>29</v>
      </c>
      <c r="AL93" s="60">
        <v>7</v>
      </c>
      <c r="AM93" s="60">
        <v>3.5</v>
      </c>
      <c r="AN93" s="57" t="s">
        <v>29</v>
      </c>
      <c r="AO93" s="57" t="s">
        <v>29</v>
      </c>
      <c r="AP93" s="57"/>
      <c r="AQ93" s="56" t="s">
        <v>28</v>
      </c>
      <c r="AR93" s="56" t="s">
        <v>28</v>
      </c>
      <c r="AS93" s="56" t="s">
        <v>28</v>
      </c>
      <c r="AT93" s="56" t="s">
        <v>29</v>
      </c>
      <c r="AU93" s="56" t="s">
        <v>28</v>
      </c>
      <c r="AV93" s="56" t="s">
        <v>28</v>
      </c>
      <c r="AW93" s="56" t="s">
        <v>28</v>
      </c>
      <c r="AX93" s="56" t="s">
        <v>28</v>
      </c>
      <c r="AY93" s="56" t="s">
        <v>28</v>
      </c>
      <c r="AZ93" s="58">
        <v>60</v>
      </c>
      <c r="BA93" s="59" t="s">
        <v>31</v>
      </c>
      <c r="BB93" s="81" t="s">
        <v>32</v>
      </c>
      <c r="BC93" s="59" t="s">
        <v>32</v>
      </c>
      <c r="BD93" s="38"/>
      <c r="BE93" s="46">
        <v>2</v>
      </c>
      <c r="BF93" s="59" t="s">
        <v>30</v>
      </c>
      <c r="BG93" s="57" t="s">
        <v>73</v>
      </c>
      <c r="BH93" s="45">
        <f>P93/100*44*12.91</f>
        <v>87421.356</v>
      </c>
      <c r="BI93" s="45">
        <f>P93/100*44*25.82</f>
        <v>174842.712</v>
      </c>
      <c r="BJ93" s="45">
        <v>46523.014999999999</v>
      </c>
      <c r="BK93" s="86">
        <f t="shared" si="13"/>
        <v>308787.08299999998</v>
      </c>
      <c r="BL93" s="46">
        <f>BE93*(1-0.25)*(1-0.21)*(1-0.25)*1.2</f>
        <v>1.0665</v>
      </c>
      <c r="BM93" s="90">
        <f t="shared" si="14"/>
        <v>3.0665</v>
      </c>
      <c r="BN93" s="61" t="s">
        <v>32</v>
      </c>
      <c r="BO93" s="61" t="s">
        <v>32</v>
      </c>
    </row>
    <row r="94" spans="1:67" s="54" customFormat="1" ht="60">
      <c r="A94" s="55" t="s">
        <v>329</v>
      </c>
      <c r="B94" s="56" t="s">
        <v>42</v>
      </c>
      <c r="C94" s="36" t="s">
        <v>370</v>
      </c>
      <c r="D94" s="37" t="s">
        <v>378</v>
      </c>
      <c r="E94" s="57" t="s">
        <v>29</v>
      </c>
      <c r="F94" s="57" t="s">
        <v>28</v>
      </c>
      <c r="G94" s="57" t="s">
        <v>28</v>
      </c>
      <c r="H94" s="57" t="s">
        <v>28</v>
      </c>
      <c r="I94" s="57" t="s">
        <v>28</v>
      </c>
      <c r="J94" s="57" t="s">
        <v>28</v>
      </c>
      <c r="K94" s="58"/>
      <c r="L94" s="58">
        <v>72063</v>
      </c>
      <c r="M94" s="57" t="s">
        <v>30</v>
      </c>
      <c r="N94" s="58"/>
      <c r="O94" s="59"/>
      <c r="P94" s="58">
        <f>L94/100*61</f>
        <v>43958.43</v>
      </c>
      <c r="Q94" s="58"/>
      <c r="R94" s="57"/>
      <c r="S94" s="56" t="s">
        <v>330</v>
      </c>
      <c r="T94" s="57" t="s">
        <v>29</v>
      </c>
      <c r="U94" s="58">
        <v>41969</v>
      </c>
      <c r="V94" s="57" t="s">
        <v>29</v>
      </c>
      <c r="W94" s="58">
        <v>8368</v>
      </c>
      <c r="X94" s="58">
        <v>540</v>
      </c>
      <c r="Y94" s="58">
        <v>5254</v>
      </c>
      <c r="Z94" s="59" t="s">
        <v>30</v>
      </c>
      <c r="AA94" s="58">
        <v>16</v>
      </c>
      <c r="AB94" s="58">
        <v>630</v>
      </c>
      <c r="AC94" s="58">
        <v>98</v>
      </c>
      <c r="AD94" s="59" t="s">
        <v>30</v>
      </c>
      <c r="AE94" s="58">
        <v>55</v>
      </c>
      <c r="AF94" s="58">
        <v>840</v>
      </c>
      <c r="AG94" s="59" t="s">
        <v>31</v>
      </c>
      <c r="AH94" s="58">
        <v>2</v>
      </c>
      <c r="AI94" s="58">
        <v>38000</v>
      </c>
      <c r="AJ94" s="59" t="s">
        <v>31</v>
      </c>
      <c r="AK94" s="56" t="s">
        <v>44</v>
      </c>
      <c r="AL94" s="60"/>
      <c r="AM94" s="60"/>
      <c r="AN94" s="57" t="s">
        <v>29</v>
      </c>
      <c r="AO94" s="57" t="s">
        <v>29</v>
      </c>
      <c r="AP94" s="57"/>
      <c r="AQ94" s="56" t="s">
        <v>29</v>
      </c>
      <c r="AR94" s="56" t="s">
        <v>29</v>
      </c>
      <c r="AS94" s="56" t="s">
        <v>28</v>
      </c>
      <c r="AT94" s="56" t="s">
        <v>28</v>
      </c>
      <c r="AU94" s="56" t="s">
        <v>28</v>
      </c>
      <c r="AV94" s="56" t="s">
        <v>29</v>
      </c>
      <c r="AW94" s="56" t="s">
        <v>28</v>
      </c>
      <c r="AX94" s="56" t="s">
        <v>28</v>
      </c>
      <c r="AY94" s="56" t="s">
        <v>28</v>
      </c>
      <c r="AZ94" s="58">
        <v>78</v>
      </c>
      <c r="BA94" s="59" t="s">
        <v>30</v>
      </c>
      <c r="BB94" s="81">
        <v>1900</v>
      </c>
      <c r="BC94" s="59" t="s">
        <v>31</v>
      </c>
      <c r="BD94" s="38">
        <f t="shared" ref="BD94:BD111" si="16">BB94/7*50</f>
        <v>13571.428571428572</v>
      </c>
      <c r="BE94" s="46">
        <v>21</v>
      </c>
      <c r="BF94" s="59" t="s">
        <v>30</v>
      </c>
      <c r="BG94" s="57" t="s">
        <v>28</v>
      </c>
      <c r="BH94" s="45">
        <f>P94/100*31*17.99</f>
        <v>245151.76826699995</v>
      </c>
      <c r="BI94" s="45">
        <f>P94/100*31*35.98</f>
        <v>490303.5365339999</v>
      </c>
      <c r="BJ94" s="45">
        <v>606384.21312500001</v>
      </c>
      <c r="BK94" s="86">
        <f t="shared" si="13"/>
        <v>1341839.5179259998</v>
      </c>
      <c r="BL94" s="46">
        <f>BE94*(1-0.25)*(1-0.25)*(1-0.375)*1.2</f>
        <v>8.859375</v>
      </c>
      <c r="BM94" s="90">
        <f t="shared" si="14"/>
        <v>29.859375</v>
      </c>
      <c r="BN94" s="61" t="s">
        <v>331</v>
      </c>
      <c r="BO94" s="61" t="s">
        <v>459</v>
      </c>
    </row>
    <row r="95" spans="1:67" s="54" customFormat="1" ht="30">
      <c r="A95" s="55" t="s">
        <v>465</v>
      </c>
      <c r="B95" s="56" t="s">
        <v>36</v>
      </c>
      <c r="C95" s="36" t="s">
        <v>370</v>
      </c>
      <c r="D95" s="37" t="s">
        <v>378</v>
      </c>
      <c r="E95" s="57" t="s">
        <v>29</v>
      </c>
      <c r="F95" s="57" t="s">
        <v>28</v>
      </c>
      <c r="G95" s="57" t="s">
        <v>28</v>
      </c>
      <c r="H95" s="57" t="s">
        <v>28</v>
      </c>
      <c r="I95" s="57" t="s">
        <v>28</v>
      </c>
      <c r="J95" s="57" t="s">
        <v>28</v>
      </c>
      <c r="K95" s="58">
        <v>1524</v>
      </c>
      <c r="L95" s="58">
        <v>53704</v>
      </c>
      <c r="M95" s="57" t="s">
        <v>31</v>
      </c>
      <c r="N95" s="58">
        <v>37938</v>
      </c>
      <c r="O95" s="59" t="s">
        <v>31</v>
      </c>
      <c r="P95" s="58">
        <f>L95/100*61</f>
        <v>32759.439999999999</v>
      </c>
      <c r="Q95" s="58">
        <v>15535</v>
      </c>
      <c r="R95" s="57" t="s">
        <v>31</v>
      </c>
      <c r="S95" s="56" t="s">
        <v>28</v>
      </c>
      <c r="T95" s="57" t="s">
        <v>29</v>
      </c>
      <c r="U95" s="58"/>
      <c r="V95" s="57" t="s">
        <v>29</v>
      </c>
      <c r="W95" s="58">
        <v>10946</v>
      </c>
      <c r="X95" s="58">
        <v>80</v>
      </c>
      <c r="Y95" s="58">
        <v>1902</v>
      </c>
      <c r="Z95" s="59" t="s">
        <v>30</v>
      </c>
      <c r="AA95" s="58"/>
      <c r="AB95" s="58">
        <v>3866</v>
      </c>
      <c r="AC95" s="58">
        <v>75</v>
      </c>
      <c r="AD95" s="59" t="s">
        <v>31</v>
      </c>
      <c r="AE95" s="58">
        <v>23</v>
      </c>
      <c r="AF95" s="58">
        <v>456</v>
      </c>
      <c r="AG95" s="59" t="s">
        <v>31</v>
      </c>
      <c r="AH95" s="58">
        <v>3</v>
      </c>
      <c r="AI95" s="58">
        <v>9096</v>
      </c>
      <c r="AJ95" s="59" t="s">
        <v>31</v>
      </c>
      <c r="AK95" s="56" t="s">
        <v>28</v>
      </c>
      <c r="AL95" s="60"/>
      <c r="AM95" s="60"/>
      <c r="AN95" s="57" t="s">
        <v>29</v>
      </c>
      <c r="AO95" s="57" t="s">
        <v>28</v>
      </c>
      <c r="AP95" s="57" t="s">
        <v>28</v>
      </c>
      <c r="AQ95" s="56" t="s">
        <v>29</v>
      </c>
      <c r="AR95" s="56" t="s">
        <v>28</v>
      </c>
      <c r="AS95" s="56" t="s">
        <v>29</v>
      </c>
      <c r="AT95" s="56" t="s">
        <v>28</v>
      </c>
      <c r="AU95" s="56" t="s">
        <v>28</v>
      </c>
      <c r="AV95" s="56" t="s">
        <v>28</v>
      </c>
      <c r="AW95" s="56" t="s">
        <v>28</v>
      </c>
      <c r="AX95" s="56" t="s">
        <v>176</v>
      </c>
      <c r="AY95" s="56" t="s">
        <v>28</v>
      </c>
      <c r="AZ95" s="58">
        <v>66</v>
      </c>
      <c r="BA95" s="59" t="s">
        <v>30</v>
      </c>
      <c r="BB95" s="81">
        <v>2800</v>
      </c>
      <c r="BC95" s="59" t="s">
        <v>31</v>
      </c>
      <c r="BD95" s="38">
        <f t="shared" si="16"/>
        <v>20000</v>
      </c>
      <c r="BE95" s="46">
        <v>6</v>
      </c>
      <c r="BF95" s="59" t="s">
        <v>30</v>
      </c>
      <c r="BG95" s="57" t="s">
        <v>29</v>
      </c>
      <c r="BH95" s="45">
        <f>P95/100*31*17.99</f>
        <v>182696.12093599999</v>
      </c>
      <c r="BI95" s="45">
        <f>P95/100*31*35.98</f>
        <v>365392.24187199998</v>
      </c>
      <c r="BJ95" s="45">
        <v>65681.634374999994</v>
      </c>
      <c r="BK95" s="86">
        <f t="shared" si="13"/>
        <v>613769.99718299997</v>
      </c>
      <c r="BL95" s="46">
        <f>BE95*(1-0.25)*(1-0.25)*(1-0.375)*1.2</f>
        <v>2.53125</v>
      </c>
      <c r="BM95" s="90">
        <f t="shared" si="14"/>
        <v>8.53125</v>
      </c>
      <c r="BN95" s="61" t="s">
        <v>177</v>
      </c>
      <c r="BO95" s="61" t="s">
        <v>32</v>
      </c>
    </row>
    <row r="96" spans="1:67" s="54" customFormat="1" ht="60">
      <c r="A96" s="55" t="s">
        <v>100</v>
      </c>
      <c r="B96" s="56" t="s">
        <v>27</v>
      </c>
      <c r="C96" s="36" t="s">
        <v>370</v>
      </c>
      <c r="D96" s="37" t="s">
        <v>377</v>
      </c>
      <c r="E96" s="57" t="s">
        <v>28</v>
      </c>
      <c r="F96" s="57" t="s">
        <v>29</v>
      </c>
      <c r="G96" s="57" t="s">
        <v>28</v>
      </c>
      <c r="H96" s="57" t="s">
        <v>28</v>
      </c>
      <c r="I96" s="57" t="s">
        <v>28</v>
      </c>
      <c r="J96" s="57" t="s">
        <v>28</v>
      </c>
      <c r="K96" s="58">
        <v>524</v>
      </c>
      <c r="L96" s="58">
        <v>5037</v>
      </c>
      <c r="M96" s="57" t="s">
        <v>31</v>
      </c>
      <c r="N96" s="58">
        <v>4062</v>
      </c>
      <c r="O96" s="59" t="s">
        <v>31</v>
      </c>
      <c r="P96" s="58">
        <f>L96/100*75</f>
        <v>3777.75</v>
      </c>
      <c r="Q96" s="58">
        <v>975</v>
      </c>
      <c r="R96" s="57" t="s">
        <v>31</v>
      </c>
      <c r="S96" s="56" t="s">
        <v>101</v>
      </c>
      <c r="T96" s="57" t="s">
        <v>28</v>
      </c>
      <c r="U96" s="58"/>
      <c r="V96" s="57" t="s">
        <v>29</v>
      </c>
      <c r="W96" s="58"/>
      <c r="X96" s="58">
        <v>17</v>
      </c>
      <c r="Y96" s="58">
        <v>510</v>
      </c>
      <c r="Z96" s="59" t="s">
        <v>31</v>
      </c>
      <c r="AA96" s="58">
        <v>0</v>
      </c>
      <c r="AB96" s="58">
        <v>0</v>
      </c>
      <c r="AC96" s="58">
        <v>9</v>
      </c>
      <c r="AD96" s="59" t="s">
        <v>31</v>
      </c>
      <c r="AE96" s="58">
        <v>2</v>
      </c>
      <c r="AF96" s="58">
        <v>46</v>
      </c>
      <c r="AG96" s="59" t="s">
        <v>31</v>
      </c>
      <c r="AH96" s="58">
        <v>1</v>
      </c>
      <c r="AI96" s="58">
        <v>25</v>
      </c>
      <c r="AJ96" s="59" t="s">
        <v>31</v>
      </c>
      <c r="AK96" s="56" t="s">
        <v>29</v>
      </c>
      <c r="AL96" s="60">
        <v>3</v>
      </c>
      <c r="AM96" s="60">
        <v>1</v>
      </c>
      <c r="AN96" s="57" t="s">
        <v>29</v>
      </c>
      <c r="AO96" s="57" t="s">
        <v>29</v>
      </c>
      <c r="AP96" s="57"/>
      <c r="AQ96" s="56" t="s">
        <v>28</v>
      </c>
      <c r="AR96" s="56" t="s">
        <v>28</v>
      </c>
      <c r="AS96" s="56" t="s">
        <v>28</v>
      </c>
      <c r="AT96" s="56" t="s">
        <v>29</v>
      </c>
      <c r="AU96" s="56" t="s">
        <v>29</v>
      </c>
      <c r="AV96" s="56" t="s">
        <v>28</v>
      </c>
      <c r="AW96" s="56" t="s">
        <v>29</v>
      </c>
      <c r="AX96" s="56" t="s">
        <v>28</v>
      </c>
      <c r="AY96" s="56" t="s">
        <v>28</v>
      </c>
      <c r="AZ96" s="58">
        <v>36</v>
      </c>
      <c r="BA96" s="59" t="s">
        <v>31</v>
      </c>
      <c r="BB96" s="81">
        <v>6200</v>
      </c>
      <c r="BC96" s="59" t="s">
        <v>31</v>
      </c>
      <c r="BD96" s="38">
        <f t="shared" si="16"/>
        <v>44285.714285714283</v>
      </c>
      <c r="BE96" s="46">
        <v>0</v>
      </c>
      <c r="BF96" s="59" t="s">
        <v>30</v>
      </c>
      <c r="BG96" s="57" t="s">
        <v>29</v>
      </c>
      <c r="BH96" s="45">
        <f>P96/100*47*17.99</f>
        <v>31942.009575</v>
      </c>
      <c r="BI96" s="45">
        <f>P96/100*47*35.98</f>
        <v>63884.01915</v>
      </c>
      <c r="BJ96" s="45">
        <v>39786.53875</v>
      </c>
      <c r="BK96" s="86">
        <f t="shared" si="13"/>
        <v>135612.56747499999</v>
      </c>
      <c r="BL96" s="46">
        <f>BE96*(1-0.25)*(1-0.21)*(1-0.25)*1.2</f>
        <v>0</v>
      </c>
      <c r="BM96" s="90">
        <f t="shared" si="14"/>
        <v>0</v>
      </c>
      <c r="BN96" s="61" t="s">
        <v>102</v>
      </c>
      <c r="BO96" s="61" t="s">
        <v>103</v>
      </c>
    </row>
    <row r="97" spans="1:67" s="54" customFormat="1" ht="45">
      <c r="A97" s="55" t="s">
        <v>403</v>
      </c>
      <c r="B97" s="56" t="s">
        <v>42</v>
      </c>
      <c r="C97" s="36" t="s">
        <v>373</v>
      </c>
      <c r="D97" s="37" t="s">
        <v>375</v>
      </c>
      <c r="E97" s="57" t="s">
        <v>28</v>
      </c>
      <c r="F97" s="57" t="s">
        <v>29</v>
      </c>
      <c r="G97" s="57" t="s">
        <v>28</v>
      </c>
      <c r="H97" s="57" t="s">
        <v>28</v>
      </c>
      <c r="I97" s="57" t="s">
        <v>28</v>
      </c>
      <c r="J97" s="57" t="s">
        <v>28</v>
      </c>
      <c r="K97" s="58"/>
      <c r="L97" s="58">
        <v>26170</v>
      </c>
      <c r="M97" s="57" t="s">
        <v>31</v>
      </c>
      <c r="N97" s="58"/>
      <c r="O97" s="59"/>
      <c r="P97" s="58">
        <f>L97/100*72</f>
        <v>18842.399999999998</v>
      </c>
      <c r="Q97" s="58"/>
      <c r="R97" s="57"/>
      <c r="S97" s="56" t="s">
        <v>353</v>
      </c>
      <c r="T97" s="57" t="s">
        <v>29</v>
      </c>
      <c r="U97" s="58">
        <v>14546</v>
      </c>
      <c r="V97" s="57" t="s">
        <v>29</v>
      </c>
      <c r="W97" s="58">
        <v>3064</v>
      </c>
      <c r="X97" s="58">
        <v>15</v>
      </c>
      <c r="Y97" s="58">
        <v>1666</v>
      </c>
      <c r="Z97" s="59" t="s">
        <v>31</v>
      </c>
      <c r="AA97" s="58">
        <v>2</v>
      </c>
      <c r="AB97" s="58">
        <v>3</v>
      </c>
      <c r="AC97" s="58"/>
      <c r="AD97" s="59" t="s">
        <v>31</v>
      </c>
      <c r="AE97" s="58">
        <v>19</v>
      </c>
      <c r="AF97" s="58">
        <v>2088</v>
      </c>
      <c r="AG97" s="59" t="s">
        <v>31</v>
      </c>
      <c r="AH97" s="58">
        <v>1</v>
      </c>
      <c r="AI97" s="58">
        <v>486</v>
      </c>
      <c r="AJ97" s="59" t="s">
        <v>31</v>
      </c>
      <c r="AK97" s="56" t="s">
        <v>28</v>
      </c>
      <c r="AL97" s="60"/>
      <c r="AM97" s="60"/>
      <c r="AN97" s="57" t="s">
        <v>29</v>
      </c>
      <c r="AO97" s="57" t="s">
        <v>29</v>
      </c>
      <c r="AP97" s="57"/>
      <c r="AQ97" s="56" t="s">
        <v>28</v>
      </c>
      <c r="AR97" s="56" t="s">
        <v>28</v>
      </c>
      <c r="AS97" s="56" t="s">
        <v>28</v>
      </c>
      <c r="AT97" s="56" t="s">
        <v>28</v>
      </c>
      <c r="AU97" s="56" t="s">
        <v>28</v>
      </c>
      <c r="AV97" s="56" t="s">
        <v>28</v>
      </c>
      <c r="AW97" s="56" t="s">
        <v>28</v>
      </c>
      <c r="AX97" s="56" t="s">
        <v>28</v>
      </c>
      <c r="AY97" s="56" t="s">
        <v>28</v>
      </c>
      <c r="AZ97" s="58">
        <v>17</v>
      </c>
      <c r="BA97" s="59" t="s">
        <v>31</v>
      </c>
      <c r="BB97" s="81">
        <v>1498</v>
      </c>
      <c r="BC97" s="59" t="s">
        <v>31</v>
      </c>
      <c r="BD97" s="38">
        <f t="shared" si="16"/>
        <v>10700</v>
      </c>
      <c r="BE97" s="46">
        <v>7</v>
      </c>
      <c r="BF97" s="59" t="s">
        <v>31</v>
      </c>
      <c r="BG97" s="57" t="s">
        <v>29</v>
      </c>
      <c r="BH97" s="45">
        <f>P97/100*44*12.91</f>
        <v>107032.36895999999</v>
      </c>
      <c r="BI97" s="45">
        <f>P97/100*44*25.82</f>
        <v>214064.73791999999</v>
      </c>
      <c r="BJ97" s="45">
        <v>149669.33527087391</v>
      </c>
      <c r="BK97" s="86">
        <f t="shared" si="13"/>
        <v>470766.44215087389</v>
      </c>
      <c r="BL97" s="46">
        <f>BE97*(1-0.25)*(1-0.21)*(1-0.25)*1.2</f>
        <v>3.7327499999999993</v>
      </c>
      <c r="BM97" s="90">
        <f t="shared" si="14"/>
        <v>10.732749999999999</v>
      </c>
      <c r="BN97" s="61" t="s">
        <v>32</v>
      </c>
      <c r="BO97" s="61" t="s">
        <v>32</v>
      </c>
    </row>
    <row r="98" spans="1:67" s="54" customFormat="1" ht="45">
      <c r="A98" s="55" t="s">
        <v>195</v>
      </c>
      <c r="B98" s="56" t="s">
        <v>27</v>
      </c>
      <c r="C98" s="36" t="s">
        <v>370</v>
      </c>
      <c r="D98" s="39" t="s">
        <v>377</v>
      </c>
      <c r="E98" s="57" t="s">
        <v>28</v>
      </c>
      <c r="F98" s="57" t="s">
        <v>29</v>
      </c>
      <c r="G98" s="57" t="s">
        <v>28</v>
      </c>
      <c r="H98" s="57" t="s">
        <v>28</v>
      </c>
      <c r="I98" s="57" t="s">
        <v>28</v>
      </c>
      <c r="J98" s="57" t="s">
        <v>28</v>
      </c>
      <c r="K98" s="58">
        <v>410</v>
      </c>
      <c r="L98" s="58">
        <v>6500</v>
      </c>
      <c r="M98" s="57" t="s">
        <v>31</v>
      </c>
      <c r="N98" s="58">
        <v>5750</v>
      </c>
      <c r="O98" s="59" t="s">
        <v>31</v>
      </c>
      <c r="P98" s="58">
        <f>L98/100*75</f>
        <v>4875</v>
      </c>
      <c r="Q98" s="58">
        <v>750</v>
      </c>
      <c r="R98" s="57" t="s">
        <v>31</v>
      </c>
      <c r="S98" s="56" t="s">
        <v>28</v>
      </c>
      <c r="T98" s="57" t="s">
        <v>29</v>
      </c>
      <c r="U98" s="58"/>
      <c r="V98" s="57" t="s">
        <v>29</v>
      </c>
      <c r="W98" s="58">
        <v>1293</v>
      </c>
      <c r="X98" s="58">
        <v>1</v>
      </c>
      <c r="Y98" s="58">
        <v>30</v>
      </c>
      <c r="Z98" s="59" t="s">
        <v>30</v>
      </c>
      <c r="AA98" s="58">
        <v>1</v>
      </c>
      <c r="AB98" s="58">
        <v>5000</v>
      </c>
      <c r="AC98" s="58"/>
      <c r="AD98" s="59" t="s">
        <v>31</v>
      </c>
      <c r="AE98" s="58">
        <v>0</v>
      </c>
      <c r="AF98" s="58">
        <v>0</v>
      </c>
      <c r="AG98" s="59" t="s">
        <v>30</v>
      </c>
      <c r="AH98" s="58">
        <v>5</v>
      </c>
      <c r="AI98" s="58">
        <v>125</v>
      </c>
      <c r="AJ98" s="59" t="s">
        <v>31</v>
      </c>
      <c r="AK98" s="56" t="s">
        <v>29</v>
      </c>
      <c r="AL98" s="60">
        <v>4.5</v>
      </c>
      <c r="AM98" s="60">
        <v>1</v>
      </c>
      <c r="AN98" s="57" t="s">
        <v>29</v>
      </c>
      <c r="AO98" s="57" t="s">
        <v>29</v>
      </c>
      <c r="AP98" s="57"/>
      <c r="AQ98" s="56" t="s">
        <v>28</v>
      </c>
      <c r="AR98" s="56" t="s">
        <v>28</v>
      </c>
      <c r="AS98" s="56" t="s">
        <v>29</v>
      </c>
      <c r="AT98" s="56" t="s">
        <v>29</v>
      </c>
      <c r="AU98" s="56" t="s">
        <v>29</v>
      </c>
      <c r="AV98" s="56" t="s">
        <v>28</v>
      </c>
      <c r="AW98" s="56" t="s">
        <v>29</v>
      </c>
      <c r="AX98" s="56" t="s">
        <v>28</v>
      </c>
      <c r="AY98" s="56" t="s">
        <v>28</v>
      </c>
      <c r="AZ98" s="58">
        <v>62</v>
      </c>
      <c r="BA98" s="59" t="s">
        <v>30</v>
      </c>
      <c r="BB98" s="81">
        <v>7900</v>
      </c>
      <c r="BC98" s="59" t="s">
        <v>31</v>
      </c>
      <c r="BD98" s="38">
        <f t="shared" si="16"/>
        <v>56428.571428571435</v>
      </c>
      <c r="BE98" s="46">
        <v>0</v>
      </c>
      <c r="BF98" s="59" t="s">
        <v>30</v>
      </c>
      <c r="BG98" s="57" t="s">
        <v>73</v>
      </c>
      <c r="BH98" s="45">
        <f>P98/100*47*17.99</f>
        <v>41219.587499999994</v>
      </c>
      <c r="BI98" s="45">
        <f>P98/100*47*35.98</f>
        <v>82439.174999999988</v>
      </c>
      <c r="BJ98" s="45">
        <v>49499.47625</v>
      </c>
      <c r="BK98" s="86">
        <f t="shared" si="13"/>
        <v>173158.23874999999</v>
      </c>
      <c r="BL98" s="46">
        <f>BE98*(1-0.25)*(1-0.21)*(1-0.25)*1.2</f>
        <v>0</v>
      </c>
      <c r="BM98" s="90">
        <f t="shared" si="14"/>
        <v>0</v>
      </c>
      <c r="BN98" s="61" t="s">
        <v>196</v>
      </c>
      <c r="BO98" s="61" t="s">
        <v>197</v>
      </c>
    </row>
    <row r="99" spans="1:67" s="54" customFormat="1" ht="150">
      <c r="A99" s="55" t="s">
        <v>466</v>
      </c>
      <c r="B99" s="56" t="s">
        <v>27</v>
      </c>
      <c r="C99" s="62" t="s">
        <v>371</v>
      </c>
      <c r="D99" s="37" t="s">
        <v>377</v>
      </c>
      <c r="E99" s="57" t="s">
        <v>28</v>
      </c>
      <c r="F99" s="57" t="s">
        <v>29</v>
      </c>
      <c r="G99" s="57" t="s">
        <v>28</v>
      </c>
      <c r="H99" s="57" t="s">
        <v>28</v>
      </c>
      <c r="I99" s="57" t="s">
        <v>28</v>
      </c>
      <c r="J99" s="57" t="s">
        <v>28</v>
      </c>
      <c r="K99" s="58">
        <v>736</v>
      </c>
      <c r="L99" s="58">
        <v>7397</v>
      </c>
      <c r="M99" s="57" t="s">
        <v>30</v>
      </c>
      <c r="N99" s="58">
        <v>7138</v>
      </c>
      <c r="O99" s="59" t="s">
        <v>30</v>
      </c>
      <c r="P99" s="58">
        <f>L99/100*75</f>
        <v>5547.75</v>
      </c>
      <c r="Q99" s="58">
        <v>259</v>
      </c>
      <c r="R99" s="57" t="s">
        <v>30</v>
      </c>
      <c r="S99" s="56" t="s">
        <v>140</v>
      </c>
      <c r="T99" s="57" t="s">
        <v>29</v>
      </c>
      <c r="U99" s="58">
        <v>1346</v>
      </c>
      <c r="V99" s="57" t="s">
        <v>29</v>
      </c>
      <c r="W99" s="58">
        <v>8182</v>
      </c>
      <c r="X99" s="58">
        <v>27</v>
      </c>
      <c r="Y99" s="58">
        <v>782</v>
      </c>
      <c r="Z99" s="59" t="s">
        <v>30</v>
      </c>
      <c r="AA99" s="58">
        <v>7</v>
      </c>
      <c r="AB99" s="58">
        <v>283</v>
      </c>
      <c r="AC99" s="58">
        <v>15</v>
      </c>
      <c r="AD99" s="59" t="s">
        <v>30</v>
      </c>
      <c r="AE99" s="58">
        <v>185</v>
      </c>
      <c r="AF99" s="58">
        <v>2641</v>
      </c>
      <c r="AG99" s="59" t="s">
        <v>30</v>
      </c>
      <c r="AH99" s="58">
        <v>3</v>
      </c>
      <c r="AI99" s="58">
        <v>86</v>
      </c>
      <c r="AJ99" s="59" t="s">
        <v>30</v>
      </c>
      <c r="AK99" s="56" t="s">
        <v>29</v>
      </c>
      <c r="AL99" s="60">
        <v>5.5</v>
      </c>
      <c r="AM99" s="60">
        <v>0</v>
      </c>
      <c r="AN99" s="57" t="s">
        <v>29</v>
      </c>
      <c r="AO99" s="57" t="s">
        <v>29</v>
      </c>
      <c r="AP99" s="57"/>
      <c r="AQ99" s="56" t="s">
        <v>29</v>
      </c>
      <c r="AR99" s="56" t="s">
        <v>28</v>
      </c>
      <c r="AS99" s="56" t="s">
        <v>28</v>
      </c>
      <c r="AT99" s="56" t="s">
        <v>28</v>
      </c>
      <c r="AU99" s="56" t="s">
        <v>29</v>
      </c>
      <c r="AV99" s="56" t="s">
        <v>28</v>
      </c>
      <c r="AW99" s="56" t="s">
        <v>29</v>
      </c>
      <c r="AX99" s="56" t="s">
        <v>28</v>
      </c>
      <c r="AY99" s="56" t="s">
        <v>28</v>
      </c>
      <c r="AZ99" s="58">
        <v>56</v>
      </c>
      <c r="BA99" s="59" t="s">
        <v>30</v>
      </c>
      <c r="BB99" s="81">
        <v>3300</v>
      </c>
      <c r="BC99" s="59" t="s">
        <v>31</v>
      </c>
      <c r="BD99" s="38">
        <f t="shared" si="16"/>
        <v>23571.428571428572</v>
      </c>
      <c r="BE99" s="46">
        <v>12</v>
      </c>
      <c r="BF99" s="59" t="s">
        <v>30</v>
      </c>
      <c r="BG99" s="57" t="s">
        <v>73</v>
      </c>
      <c r="BH99" s="45">
        <f>P99/100*47*12.86</f>
        <v>33531.710550000003</v>
      </c>
      <c r="BI99" s="45">
        <f>P99/100*47*23.73</f>
        <v>61874.610525000004</v>
      </c>
      <c r="BJ99" s="45">
        <v>1057085.7149999999</v>
      </c>
      <c r="BK99" s="86">
        <f t="shared" ref="BK99:BK130" si="17">BH99+BI99+BJ99</f>
        <v>1152492.036075</v>
      </c>
      <c r="BL99" s="46">
        <f>BE99*(1-0.25)*(1-0.21)*(1-0.25)*1.2</f>
        <v>6.399</v>
      </c>
      <c r="BM99" s="90">
        <f t="shared" ref="BM99:BM130" si="18">SUBTOTAL(9,BE99,BL99)</f>
        <v>18.399000000000001</v>
      </c>
      <c r="BN99" s="61" t="s">
        <v>141</v>
      </c>
      <c r="BO99" s="61" t="s">
        <v>142</v>
      </c>
    </row>
    <row r="100" spans="1:67" s="54" customFormat="1" ht="165">
      <c r="A100" s="55" t="s">
        <v>318</v>
      </c>
      <c r="B100" s="56" t="s">
        <v>27</v>
      </c>
      <c r="C100" s="36" t="s">
        <v>374</v>
      </c>
      <c r="D100" s="37" t="s">
        <v>377</v>
      </c>
      <c r="E100" s="57" t="s">
        <v>28</v>
      </c>
      <c r="F100" s="57" t="s">
        <v>29</v>
      </c>
      <c r="G100" s="57" t="s">
        <v>28</v>
      </c>
      <c r="H100" s="57" t="s">
        <v>28</v>
      </c>
      <c r="I100" s="57" t="s">
        <v>28</v>
      </c>
      <c r="J100" s="57" t="s">
        <v>28</v>
      </c>
      <c r="K100" s="58">
        <v>1039</v>
      </c>
      <c r="L100" s="58">
        <v>1660</v>
      </c>
      <c r="M100" s="57" t="s">
        <v>30</v>
      </c>
      <c r="N100" s="58">
        <v>1527</v>
      </c>
      <c r="O100" s="59" t="s">
        <v>30</v>
      </c>
      <c r="P100" s="58">
        <f>L100/100*75</f>
        <v>1245</v>
      </c>
      <c r="Q100" s="58">
        <v>133</v>
      </c>
      <c r="R100" s="57" t="s">
        <v>30</v>
      </c>
      <c r="S100" s="56" t="s">
        <v>319</v>
      </c>
      <c r="T100" s="57" t="s">
        <v>29</v>
      </c>
      <c r="U100" s="58"/>
      <c r="V100" s="57" t="s">
        <v>29</v>
      </c>
      <c r="W100" s="58">
        <v>1390</v>
      </c>
      <c r="X100" s="58">
        <v>1</v>
      </c>
      <c r="Y100" s="58">
        <v>18</v>
      </c>
      <c r="Z100" s="59" t="s">
        <v>30</v>
      </c>
      <c r="AA100" s="58">
        <v>0</v>
      </c>
      <c r="AB100" s="58">
        <v>0</v>
      </c>
      <c r="AC100" s="58">
        <v>1</v>
      </c>
      <c r="AD100" s="59" t="s">
        <v>30</v>
      </c>
      <c r="AE100" s="58">
        <v>3</v>
      </c>
      <c r="AF100" s="58">
        <v>126</v>
      </c>
      <c r="AG100" s="59" t="s">
        <v>30</v>
      </c>
      <c r="AH100" s="58">
        <v>1</v>
      </c>
      <c r="AI100" s="58">
        <v>20</v>
      </c>
      <c r="AJ100" s="59" t="s">
        <v>31</v>
      </c>
      <c r="AK100" s="56" t="s">
        <v>28</v>
      </c>
      <c r="AL100" s="60"/>
      <c r="AM100" s="60"/>
      <c r="AN100" s="57" t="s">
        <v>29</v>
      </c>
      <c r="AO100" s="57" t="s">
        <v>29</v>
      </c>
      <c r="AP100" s="57"/>
      <c r="AQ100" s="56" t="s">
        <v>28</v>
      </c>
      <c r="AR100" s="56" t="s">
        <v>28</v>
      </c>
      <c r="AS100" s="56" t="s">
        <v>28</v>
      </c>
      <c r="AT100" s="56" t="s">
        <v>29</v>
      </c>
      <c r="AU100" s="56" t="s">
        <v>28</v>
      </c>
      <c r="AV100" s="56" t="s">
        <v>28</v>
      </c>
      <c r="AW100" s="56" t="s">
        <v>28</v>
      </c>
      <c r="AX100" s="56" t="s">
        <v>320</v>
      </c>
      <c r="AY100" s="56" t="s">
        <v>28</v>
      </c>
      <c r="AZ100" s="58">
        <v>30</v>
      </c>
      <c r="BA100" s="59" t="s">
        <v>30</v>
      </c>
      <c r="BB100" s="81">
        <v>1360</v>
      </c>
      <c r="BC100" s="59" t="s">
        <v>30</v>
      </c>
      <c r="BD100" s="38">
        <f t="shared" si="16"/>
        <v>9714.2857142857138</v>
      </c>
      <c r="BE100" s="46">
        <v>0</v>
      </c>
      <c r="BF100" s="59" t="s">
        <v>30</v>
      </c>
      <c r="BG100" s="57" t="s">
        <v>28</v>
      </c>
      <c r="BH100" s="45">
        <f>P100/100*47*8.9</f>
        <v>5207.835</v>
      </c>
      <c r="BI100" s="45">
        <f>P100/100*47*17.79</f>
        <v>10409.818499999999</v>
      </c>
      <c r="BJ100" s="45">
        <v>8352.7481624999982</v>
      </c>
      <c r="BK100" s="86">
        <f t="shared" si="17"/>
        <v>23970.4016625</v>
      </c>
      <c r="BL100" s="46">
        <f>BE100*(1-0.25)*(1-0.21)*(1-0.25)*1.2</f>
        <v>0</v>
      </c>
      <c r="BM100" s="90">
        <f t="shared" si="18"/>
        <v>0</v>
      </c>
      <c r="BN100" s="61" t="s">
        <v>321</v>
      </c>
      <c r="BO100" s="61" t="s">
        <v>322</v>
      </c>
    </row>
    <row r="101" spans="1:67" s="54" customFormat="1" ht="30">
      <c r="A101" s="55" t="s">
        <v>267</v>
      </c>
      <c r="B101" s="56" t="s">
        <v>27</v>
      </c>
      <c r="C101" s="36" t="s">
        <v>369</v>
      </c>
      <c r="D101" s="37" t="s">
        <v>378</v>
      </c>
      <c r="E101" s="57" t="s">
        <v>28</v>
      </c>
      <c r="F101" s="57" t="s">
        <v>29</v>
      </c>
      <c r="G101" s="57" t="s">
        <v>28</v>
      </c>
      <c r="H101" s="57" t="s">
        <v>28</v>
      </c>
      <c r="I101" s="57" t="s">
        <v>28</v>
      </c>
      <c r="J101" s="57" t="s">
        <v>28</v>
      </c>
      <c r="K101" s="58">
        <v>1800</v>
      </c>
      <c r="L101" s="58">
        <v>50469</v>
      </c>
      <c r="M101" s="57" t="s">
        <v>30</v>
      </c>
      <c r="N101" s="58">
        <v>40888</v>
      </c>
      <c r="O101" s="59" t="s">
        <v>30</v>
      </c>
      <c r="P101" s="58">
        <f>L101/100*61</f>
        <v>30786.09</v>
      </c>
      <c r="Q101" s="58">
        <v>9581</v>
      </c>
      <c r="R101" s="57" t="s">
        <v>30</v>
      </c>
      <c r="S101" s="56" t="s">
        <v>106</v>
      </c>
      <c r="T101" s="57" t="s">
        <v>28</v>
      </c>
      <c r="U101" s="58"/>
      <c r="V101" s="57" t="s">
        <v>29</v>
      </c>
      <c r="W101" s="58">
        <v>650</v>
      </c>
      <c r="X101" s="58">
        <v>24</v>
      </c>
      <c r="Y101" s="58">
        <v>1003</v>
      </c>
      <c r="Z101" s="59" t="s">
        <v>30</v>
      </c>
      <c r="AA101" s="58">
        <v>1</v>
      </c>
      <c r="AB101" s="58">
        <v>20</v>
      </c>
      <c r="AC101" s="58">
        <v>24</v>
      </c>
      <c r="AD101" s="59" t="s">
        <v>30</v>
      </c>
      <c r="AE101" s="58"/>
      <c r="AF101" s="58"/>
      <c r="AG101" s="59"/>
      <c r="AH101" s="58"/>
      <c r="AI101" s="58"/>
      <c r="AJ101" s="59" t="s">
        <v>32</v>
      </c>
      <c r="AK101" s="56" t="s">
        <v>28</v>
      </c>
      <c r="AL101" s="60"/>
      <c r="AM101" s="60"/>
      <c r="AN101" s="57" t="s">
        <v>29</v>
      </c>
      <c r="AO101" s="57" t="s">
        <v>28</v>
      </c>
      <c r="AP101" s="57" t="s">
        <v>28</v>
      </c>
      <c r="AQ101" s="56" t="s">
        <v>28</v>
      </c>
      <c r="AR101" s="56" t="s">
        <v>28</v>
      </c>
      <c r="AS101" s="56" t="s">
        <v>28</v>
      </c>
      <c r="AT101" s="56" t="s">
        <v>28</v>
      </c>
      <c r="AU101" s="56" t="s">
        <v>28</v>
      </c>
      <c r="AV101" s="56" t="s">
        <v>28</v>
      </c>
      <c r="AW101" s="56" t="s">
        <v>28</v>
      </c>
      <c r="AX101" s="56" t="s">
        <v>28</v>
      </c>
      <c r="AY101" s="56" t="s">
        <v>28</v>
      </c>
      <c r="AZ101" s="58">
        <v>34</v>
      </c>
      <c r="BA101" s="59" t="s">
        <v>30</v>
      </c>
      <c r="BB101" s="81">
        <v>5400</v>
      </c>
      <c r="BC101" s="59" t="s">
        <v>31</v>
      </c>
      <c r="BD101" s="38">
        <f t="shared" si="16"/>
        <v>38571.428571428572</v>
      </c>
      <c r="BE101" s="46">
        <v>4</v>
      </c>
      <c r="BF101" s="59" t="s">
        <v>31</v>
      </c>
      <c r="BG101" s="57" t="s">
        <v>29</v>
      </c>
      <c r="BH101" s="45">
        <f>P101/100*31*14.08</f>
        <v>134375.12563200001</v>
      </c>
      <c r="BI101" s="45">
        <f>P101/100*31*28.16</f>
        <v>268750.25126400002</v>
      </c>
      <c r="BJ101" s="45">
        <v>0</v>
      </c>
      <c r="BK101" s="86">
        <f t="shared" si="17"/>
        <v>403125.376896</v>
      </c>
      <c r="BL101" s="46">
        <f>BE101*(1-0.25)*(1-0.25)*(1-0.375)*1.2</f>
        <v>1.6875</v>
      </c>
      <c r="BM101" s="90">
        <f t="shared" si="18"/>
        <v>5.6875</v>
      </c>
      <c r="BN101" s="61" t="s">
        <v>268</v>
      </c>
      <c r="BO101" s="61" t="s">
        <v>32</v>
      </c>
    </row>
    <row r="102" spans="1:67" s="54" customFormat="1" ht="30">
      <c r="A102" s="55" t="s">
        <v>260</v>
      </c>
      <c r="B102" s="56" t="s">
        <v>225</v>
      </c>
      <c r="C102" s="36" t="s">
        <v>370</v>
      </c>
      <c r="D102" s="37" t="s">
        <v>376</v>
      </c>
      <c r="E102" s="57" t="s">
        <v>29</v>
      </c>
      <c r="F102" s="57" t="s">
        <v>28</v>
      </c>
      <c r="G102" s="57" t="s">
        <v>28</v>
      </c>
      <c r="H102" s="57" t="s">
        <v>28</v>
      </c>
      <c r="I102" s="57" t="s">
        <v>28</v>
      </c>
      <c r="J102" s="57" t="s">
        <v>28</v>
      </c>
      <c r="K102" s="58">
        <v>2750</v>
      </c>
      <c r="L102" s="58">
        <v>164153</v>
      </c>
      <c r="M102" s="57" t="s">
        <v>31</v>
      </c>
      <c r="N102" s="58"/>
      <c r="O102" s="59" t="s">
        <v>31</v>
      </c>
      <c r="P102" s="58">
        <f>L102/100*69</f>
        <v>113265.56999999999</v>
      </c>
      <c r="Q102" s="58"/>
      <c r="R102" s="57" t="s">
        <v>31</v>
      </c>
      <c r="S102" s="56" t="s">
        <v>77</v>
      </c>
      <c r="T102" s="57" t="s">
        <v>29</v>
      </c>
      <c r="U102" s="58"/>
      <c r="V102" s="57" t="s">
        <v>29</v>
      </c>
      <c r="W102" s="58">
        <v>2176</v>
      </c>
      <c r="X102" s="58">
        <v>2</v>
      </c>
      <c r="Y102" s="58">
        <v>30</v>
      </c>
      <c r="Z102" s="59" t="s">
        <v>31</v>
      </c>
      <c r="AA102" s="58">
        <v>0</v>
      </c>
      <c r="AB102" s="58">
        <v>0</v>
      </c>
      <c r="AC102" s="58">
        <v>1</v>
      </c>
      <c r="AD102" s="59" t="s">
        <v>30</v>
      </c>
      <c r="AE102" s="58">
        <v>4</v>
      </c>
      <c r="AF102" s="58"/>
      <c r="AG102" s="59" t="s">
        <v>31</v>
      </c>
      <c r="AH102" s="58"/>
      <c r="AI102" s="58"/>
      <c r="AJ102" s="59" t="s">
        <v>31</v>
      </c>
      <c r="AK102" s="56" t="s">
        <v>28</v>
      </c>
      <c r="AL102" s="60"/>
      <c r="AM102" s="60"/>
      <c r="AN102" s="57" t="s">
        <v>28</v>
      </c>
      <c r="AO102" s="57" t="s">
        <v>28</v>
      </c>
      <c r="AP102" s="57" t="s">
        <v>28</v>
      </c>
      <c r="AQ102" s="56" t="s">
        <v>28</v>
      </c>
      <c r="AR102" s="56" t="s">
        <v>28</v>
      </c>
      <c r="AS102" s="56" t="s">
        <v>28</v>
      </c>
      <c r="AT102" s="56" t="s">
        <v>29</v>
      </c>
      <c r="AU102" s="56" t="s">
        <v>28</v>
      </c>
      <c r="AV102" s="56" t="s">
        <v>28</v>
      </c>
      <c r="AW102" s="56" t="s">
        <v>28</v>
      </c>
      <c r="AX102" s="56" t="s">
        <v>261</v>
      </c>
      <c r="AY102" s="56" t="s">
        <v>28</v>
      </c>
      <c r="AZ102" s="58">
        <v>13</v>
      </c>
      <c r="BA102" s="59" t="s">
        <v>31</v>
      </c>
      <c r="BB102" s="81">
        <v>140</v>
      </c>
      <c r="BC102" s="59" t="s">
        <v>31</v>
      </c>
      <c r="BD102" s="38">
        <f t="shared" si="16"/>
        <v>1000</v>
      </c>
      <c r="BE102" s="46">
        <v>1</v>
      </c>
      <c r="BF102" s="59" t="s">
        <v>30</v>
      </c>
      <c r="BG102" s="57" t="s">
        <v>73</v>
      </c>
      <c r="BH102" s="45">
        <f>P102/100*31*17.99</f>
        <v>631670.75733299996</v>
      </c>
      <c r="BI102" s="45">
        <f>P102/100*31*35.98</f>
        <v>1263341.5146659999</v>
      </c>
      <c r="BJ102" s="45">
        <v>2438.75</v>
      </c>
      <c r="BK102" s="86">
        <f t="shared" si="17"/>
        <v>1897451.0219989999</v>
      </c>
      <c r="BL102" s="46">
        <f>BE102*(1-0.25)*(1-0.25)*(1-0.375)*1.2</f>
        <v>0.421875</v>
      </c>
      <c r="BM102" s="90">
        <f t="shared" si="18"/>
        <v>1.421875</v>
      </c>
      <c r="BN102" s="61" t="s">
        <v>262</v>
      </c>
      <c r="BO102" s="61" t="s">
        <v>263</v>
      </c>
    </row>
    <row r="103" spans="1:67" s="54" customFormat="1" ht="45">
      <c r="A103" s="55" t="s">
        <v>49</v>
      </c>
      <c r="B103" s="56" t="s">
        <v>42</v>
      </c>
      <c r="C103" s="36" t="s">
        <v>372</v>
      </c>
      <c r="D103" s="37" t="s">
        <v>377</v>
      </c>
      <c r="E103" s="57" t="s">
        <v>29</v>
      </c>
      <c r="F103" s="57" t="s">
        <v>28</v>
      </c>
      <c r="G103" s="57" t="s">
        <v>28</v>
      </c>
      <c r="H103" s="57" t="s">
        <v>28</v>
      </c>
      <c r="I103" s="57" t="s">
        <v>28</v>
      </c>
      <c r="J103" s="57" t="s">
        <v>28</v>
      </c>
      <c r="K103" s="58">
        <v>1200</v>
      </c>
      <c r="L103" s="58">
        <v>7667</v>
      </c>
      <c r="M103" s="57" t="s">
        <v>30</v>
      </c>
      <c r="N103" s="58">
        <v>4000</v>
      </c>
      <c r="O103" s="59" t="s">
        <v>31</v>
      </c>
      <c r="P103" s="58">
        <f>L103/100*75</f>
        <v>5750.25</v>
      </c>
      <c r="Q103" s="58">
        <v>3667</v>
      </c>
      <c r="R103" s="57" t="s">
        <v>31</v>
      </c>
      <c r="S103" s="56" t="s">
        <v>50</v>
      </c>
      <c r="T103" s="57" t="s">
        <v>29</v>
      </c>
      <c r="U103" s="58">
        <v>3600</v>
      </c>
      <c r="V103" s="57" t="s">
        <v>29</v>
      </c>
      <c r="W103" s="58">
        <v>1440</v>
      </c>
      <c r="X103" s="58">
        <v>4</v>
      </c>
      <c r="Y103" s="58">
        <v>140</v>
      </c>
      <c r="Z103" s="59" t="s">
        <v>31</v>
      </c>
      <c r="AA103" s="58">
        <v>7</v>
      </c>
      <c r="AB103" s="58">
        <v>245</v>
      </c>
      <c r="AC103" s="58">
        <v>20</v>
      </c>
      <c r="AD103" s="59" t="s">
        <v>31</v>
      </c>
      <c r="AE103" s="58">
        <v>50</v>
      </c>
      <c r="AF103" s="58">
        <v>2000</v>
      </c>
      <c r="AG103" s="59" t="s">
        <v>31</v>
      </c>
      <c r="AH103" s="58">
        <v>10</v>
      </c>
      <c r="AI103" s="58">
        <v>350</v>
      </c>
      <c r="AJ103" s="59" t="s">
        <v>31</v>
      </c>
      <c r="AK103" s="56" t="s">
        <v>28</v>
      </c>
      <c r="AL103" s="60"/>
      <c r="AM103" s="60"/>
      <c r="AN103" s="57" t="s">
        <v>29</v>
      </c>
      <c r="AO103" s="57" t="s">
        <v>28</v>
      </c>
      <c r="AP103" s="57" t="s">
        <v>28</v>
      </c>
      <c r="AQ103" s="56" t="s">
        <v>29</v>
      </c>
      <c r="AR103" s="56" t="s">
        <v>29</v>
      </c>
      <c r="AS103" s="56" t="s">
        <v>29</v>
      </c>
      <c r="AT103" s="56" t="s">
        <v>29</v>
      </c>
      <c r="AU103" s="56" t="s">
        <v>29</v>
      </c>
      <c r="AV103" s="56" t="s">
        <v>29</v>
      </c>
      <c r="AW103" s="56" t="s">
        <v>28</v>
      </c>
      <c r="AX103" s="56" t="s">
        <v>28</v>
      </c>
      <c r="AY103" s="56" t="s">
        <v>28</v>
      </c>
      <c r="AZ103" s="58">
        <v>40</v>
      </c>
      <c r="BA103" s="59" t="s">
        <v>31</v>
      </c>
      <c r="BB103" s="81">
        <v>6000</v>
      </c>
      <c r="BC103" s="59" t="s">
        <v>31</v>
      </c>
      <c r="BD103" s="38">
        <f t="shared" si="16"/>
        <v>42857.142857142855</v>
      </c>
      <c r="BE103" s="46">
        <v>1.8</v>
      </c>
      <c r="BF103" s="59" t="s">
        <v>31</v>
      </c>
      <c r="BG103" s="57" t="s">
        <v>29</v>
      </c>
      <c r="BH103" s="45">
        <f>P103/100*47*11.29</f>
        <v>30512.551574999994</v>
      </c>
      <c r="BI103" s="45">
        <f>P103/100*47*22.59</f>
        <v>61052.129324999994</v>
      </c>
      <c r="BJ103" s="45">
        <v>62580</v>
      </c>
      <c r="BK103" s="86">
        <f t="shared" si="17"/>
        <v>154144.68089999998</v>
      </c>
      <c r="BL103" s="46">
        <f>BE103*(1-0.25)*(1-0.21)*(1-0.25)*1.2</f>
        <v>0.95985000000000009</v>
      </c>
      <c r="BM103" s="90">
        <f t="shared" si="18"/>
        <v>2.7598500000000001</v>
      </c>
      <c r="BN103" s="61" t="s">
        <v>51</v>
      </c>
      <c r="BO103" s="61" t="s">
        <v>32</v>
      </c>
    </row>
    <row r="104" spans="1:67" s="54" customFormat="1" ht="90">
      <c r="A104" s="55" t="s">
        <v>156</v>
      </c>
      <c r="B104" s="56" t="s">
        <v>42</v>
      </c>
      <c r="C104" s="36" t="s">
        <v>373</v>
      </c>
      <c r="D104" s="39" t="s">
        <v>375</v>
      </c>
      <c r="E104" s="57" t="s">
        <v>29</v>
      </c>
      <c r="F104" s="57" t="s">
        <v>28</v>
      </c>
      <c r="G104" s="57" t="s">
        <v>28</v>
      </c>
      <c r="H104" s="57" t="s">
        <v>28</v>
      </c>
      <c r="I104" s="57" t="s">
        <v>28</v>
      </c>
      <c r="J104" s="57" t="s">
        <v>28</v>
      </c>
      <c r="K104" s="58">
        <v>1913</v>
      </c>
      <c r="L104" s="58">
        <v>12816</v>
      </c>
      <c r="M104" s="57" t="s">
        <v>30</v>
      </c>
      <c r="N104" s="58">
        <v>8000</v>
      </c>
      <c r="O104" s="59" t="s">
        <v>31</v>
      </c>
      <c r="P104" s="58">
        <f>L104/100*72</f>
        <v>9227.52</v>
      </c>
      <c r="Q104" s="58">
        <v>4800</v>
      </c>
      <c r="R104" s="57" t="s">
        <v>31</v>
      </c>
      <c r="S104" s="56" t="s">
        <v>157</v>
      </c>
      <c r="T104" s="57" t="s">
        <v>29</v>
      </c>
      <c r="U104" s="58">
        <v>38193</v>
      </c>
      <c r="V104" s="57" t="s">
        <v>29</v>
      </c>
      <c r="W104" s="58">
        <v>2922</v>
      </c>
      <c r="X104" s="58">
        <v>34</v>
      </c>
      <c r="Y104" s="58">
        <v>517</v>
      </c>
      <c r="Z104" s="59" t="s">
        <v>30</v>
      </c>
      <c r="AA104" s="58">
        <v>14</v>
      </c>
      <c r="AB104" s="58">
        <v>1119</v>
      </c>
      <c r="AC104" s="58">
        <v>21</v>
      </c>
      <c r="AD104" s="59" t="s">
        <v>30</v>
      </c>
      <c r="AE104" s="58">
        <v>62</v>
      </c>
      <c r="AF104" s="58">
        <v>285</v>
      </c>
      <c r="AG104" s="59" t="s">
        <v>30</v>
      </c>
      <c r="AH104" s="58">
        <v>5</v>
      </c>
      <c r="AI104" s="58">
        <v>188</v>
      </c>
      <c r="AJ104" s="59" t="s">
        <v>30</v>
      </c>
      <c r="AK104" s="56" t="s">
        <v>29</v>
      </c>
      <c r="AL104" s="60">
        <v>2.5</v>
      </c>
      <c r="AM104" s="60">
        <v>0</v>
      </c>
      <c r="AN104" s="57" t="s">
        <v>29</v>
      </c>
      <c r="AO104" s="57" t="s">
        <v>28</v>
      </c>
      <c r="AP104" s="57" t="s">
        <v>28</v>
      </c>
      <c r="AQ104" s="56" t="s">
        <v>28</v>
      </c>
      <c r="AR104" s="56" t="s">
        <v>28</v>
      </c>
      <c r="AS104" s="56" t="s">
        <v>28</v>
      </c>
      <c r="AT104" s="56" t="s">
        <v>29</v>
      </c>
      <c r="AU104" s="56" t="s">
        <v>28</v>
      </c>
      <c r="AV104" s="56" t="s">
        <v>29</v>
      </c>
      <c r="AW104" s="56" t="s">
        <v>28</v>
      </c>
      <c r="AX104" s="56" t="s">
        <v>158</v>
      </c>
      <c r="AY104" s="56" t="s">
        <v>159</v>
      </c>
      <c r="AZ104" s="58">
        <v>65</v>
      </c>
      <c r="BA104" s="59" t="s">
        <v>31</v>
      </c>
      <c r="BB104" s="81">
        <v>2500</v>
      </c>
      <c r="BC104" s="59" t="s">
        <v>31</v>
      </c>
      <c r="BD104" s="38">
        <f t="shared" si="16"/>
        <v>17857.142857142859</v>
      </c>
      <c r="BE104" s="46">
        <v>6</v>
      </c>
      <c r="BF104" s="59" t="s">
        <v>30</v>
      </c>
      <c r="BG104" s="57" t="s">
        <v>28</v>
      </c>
      <c r="BH104" s="45">
        <f>P104/100*44*12.91</f>
        <v>52416.004608000003</v>
      </c>
      <c r="BI104" s="45">
        <f>P104/100*44*25.82</f>
        <v>104832.00921600001</v>
      </c>
      <c r="BJ104" s="45">
        <v>53362.487499999996</v>
      </c>
      <c r="BK104" s="86">
        <f t="shared" si="17"/>
        <v>210610.50132400001</v>
      </c>
      <c r="BL104" s="46">
        <f>BE104*(1-0.25)*(1-0.21)*(1-0.25)*1.2</f>
        <v>3.1995</v>
      </c>
      <c r="BM104" s="90">
        <f t="shared" si="18"/>
        <v>9.1995000000000005</v>
      </c>
      <c r="BN104" s="61" t="s">
        <v>160</v>
      </c>
      <c r="BO104" s="61" t="s">
        <v>161</v>
      </c>
    </row>
    <row r="105" spans="1:67" s="54" customFormat="1" ht="30">
      <c r="A105" s="55" t="s">
        <v>65</v>
      </c>
      <c r="B105" s="56" t="s">
        <v>27</v>
      </c>
      <c r="C105" s="36" t="s">
        <v>371</v>
      </c>
      <c r="D105" s="37" t="s">
        <v>377</v>
      </c>
      <c r="E105" s="57" t="s">
        <v>28</v>
      </c>
      <c r="F105" s="57" t="s">
        <v>29</v>
      </c>
      <c r="G105" s="57" t="s">
        <v>28</v>
      </c>
      <c r="H105" s="57" t="s">
        <v>28</v>
      </c>
      <c r="I105" s="57" t="s">
        <v>28</v>
      </c>
      <c r="J105" s="57" t="s">
        <v>28</v>
      </c>
      <c r="K105" s="58">
        <v>500</v>
      </c>
      <c r="L105" s="58">
        <v>2000</v>
      </c>
      <c r="M105" s="57" t="s">
        <v>31</v>
      </c>
      <c r="N105" s="58">
        <v>1750</v>
      </c>
      <c r="O105" s="59" t="s">
        <v>31</v>
      </c>
      <c r="P105" s="58">
        <f>L105/100*75</f>
        <v>1500</v>
      </c>
      <c r="Q105" s="58">
        <v>250</v>
      </c>
      <c r="R105" s="57" t="s">
        <v>31</v>
      </c>
      <c r="S105" s="56" t="s">
        <v>66</v>
      </c>
      <c r="T105" s="57" t="s">
        <v>29</v>
      </c>
      <c r="U105" s="58"/>
      <c r="V105" s="57" t="s">
        <v>29</v>
      </c>
      <c r="W105" s="58">
        <v>770</v>
      </c>
      <c r="X105" s="58">
        <v>6</v>
      </c>
      <c r="Y105" s="58">
        <v>180</v>
      </c>
      <c r="Z105" s="59" t="s">
        <v>31</v>
      </c>
      <c r="AA105" s="58">
        <v>0</v>
      </c>
      <c r="AB105" s="58">
        <v>0</v>
      </c>
      <c r="AC105" s="58">
        <v>3</v>
      </c>
      <c r="AD105" s="59" t="s">
        <v>31</v>
      </c>
      <c r="AE105" s="58">
        <v>3</v>
      </c>
      <c r="AF105" s="58">
        <v>30</v>
      </c>
      <c r="AG105" s="59" t="s">
        <v>31</v>
      </c>
      <c r="AH105" s="58">
        <v>0</v>
      </c>
      <c r="AI105" s="58">
        <v>0</v>
      </c>
      <c r="AJ105" s="59" t="s">
        <v>31</v>
      </c>
      <c r="AK105" s="56" t="s">
        <v>28</v>
      </c>
      <c r="AL105" s="60"/>
      <c r="AM105" s="60"/>
      <c r="AN105" s="57" t="s">
        <v>29</v>
      </c>
      <c r="AO105" s="57" t="s">
        <v>28</v>
      </c>
      <c r="AP105" s="57" t="s">
        <v>28</v>
      </c>
      <c r="AQ105" s="56" t="s">
        <v>28</v>
      </c>
      <c r="AR105" s="56" t="s">
        <v>28</v>
      </c>
      <c r="AS105" s="56" t="s">
        <v>29</v>
      </c>
      <c r="AT105" s="56" t="s">
        <v>29</v>
      </c>
      <c r="AU105" s="56" t="s">
        <v>29</v>
      </c>
      <c r="AV105" s="56" t="s">
        <v>28</v>
      </c>
      <c r="AW105" s="56" t="s">
        <v>29</v>
      </c>
      <c r="AX105" s="56" t="s">
        <v>28</v>
      </c>
      <c r="AY105" s="56" t="s">
        <v>28</v>
      </c>
      <c r="AZ105" s="58">
        <v>50</v>
      </c>
      <c r="BA105" s="59" t="s">
        <v>31</v>
      </c>
      <c r="BB105" s="81">
        <v>500</v>
      </c>
      <c r="BC105" s="59" t="s">
        <v>31</v>
      </c>
      <c r="BD105" s="38">
        <f t="shared" si="16"/>
        <v>3571.4285714285716</v>
      </c>
      <c r="BE105" s="46">
        <v>0</v>
      </c>
      <c r="BF105" s="59" t="s">
        <v>30</v>
      </c>
      <c r="BG105" s="57" t="s">
        <v>29</v>
      </c>
      <c r="BH105" s="45">
        <f>P105/100*47*12.86</f>
        <v>9066.2999999999993</v>
      </c>
      <c r="BI105" s="45">
        <f>P105/100*47*23.73</f>
        <v>16729.650000000001</v>
      </c>
      <c r="BJ105" s="45">
        <v>8828.994999999999</v>
      </c>
      <c r="BK105" s="86">
        <f t="shared" si="17"/>
        <v>34624.945</v>
      </c>
      <c r="BL105" s="46">
        <f>BE105*(1-0.25)*(1-0.21)*(1-0.25)*1.2</f>
        <v>0</v>
      </c>
      <c r="BM105" s="90">
        <f t="shared" si="18"/>
        <v>0</v>
      </c>
      <c r="BN105" s="61" t="s">
        <v>32</v>
      </c>
      <c r="BO105" s="61" t="s">
        <v>32</v>
      </c>
    </row>
    <row r="106" spans="1:67" s="54" customFormat="1" ht="30">
      <c r="A106" s="55" t="s">
        <v>467</v>
      </c>
      <c r="B106" s="56" t="s">
        <v>27</v>
      </c>
      <c r="C106" s="36" t="s">
        <v>373</v>
      </c>
      <c r="D106" s="37" t="s">
        <v>377</v>
      </c>
      <c r="E106" s="57" t="s">
        <v>28</v>
      </c>
      <c r="F106" s="57" t="s">
        <v>28</v>
      </c>
      <c r="G106" s="57" t="s">
        <v>28</v>
      </c>
      <c r="H106" s="57" t="s">
        <v>28</v>
      </c>
      <c r="I106" s="57" t="s">
        <v>29</v>
      </c>
      <c r="J106" s="57" t="s">
        <v>28</v>
      </c>
      <c r="K106" s="58">
        <v>1750</v>
      </c>
      <c r="L106" s="58">
        <v>2157</v>
      </c>
      <c r="M106" s="57" t="s">
        <v>31</v>
      </c>
      <c r="N106" s="58">
        <v>635</v>
      </c>
      <c r="O106" s="59" t="s">
        <v>31</v>
      </c>
      <c r="P106" s="58">
        <f>L106/100*75</f>
        <v>1617.75</v>
      </c>
      <c r="Q106" s="58">
        <v>1277</v>
      </c>
      <c r="R106" s="57" t="s">
        <v>31</v>
      </c>
      <c r="S106" s="56" t="s">
        <v>309</v>
      </c>
      <c r="T106" s="57" t="s">
        <v>29</v>
      </c>
      <c r="U106" s="58">
        <v>106161</v>
      </c>
      <c r="V106" s="57" t="s">
        <v>28</v>
      </c>
      <c r="W106" s="58"/>
      <c r="X106" s="58">
        <v>0</v>
      </c>
      <c r="Y106" s="58">
        <v>0</v>
      </c>
      <c r="Z106" s="59" t="s">
        <v>30</v>
      </c>
      <c r="AA106" s="58">
        <v>0</v>
      </c>
      <c r="AB106" s="58">
        <v>0</v>
      </c>
      <c r="AC106" s="58">
        <v>0</v>
      </c>
      <c r="AD106" s="59" t="s">
        <v>30</v>
      </c>
      <c r="AE106" s="58">
        <v>35</v>
      </c>
      <c r="AF106" s="58">
        <v>602</v>
      </c>
      <c r="AG106" s="59" t="s">
        <v>30</v>
      </c>
      <c r="AH106" s="58">
        <v>1</v>
      </c>
      <c r="AI106" s="58">
        <v>22</v>
      </c>
      <c r="AJ106" s="59" t="s">
        <v>30</v>
      </c>
      <c r="AK106" s="56" t="s">
        <v>28</v>
      </c>
      <c r="AL106" s="60"/>
      <c r="AM106" s="60"/>
      <c r="AN106" s="57" t="s">
        <v>28</v>
      </c>
      <c r="AO106" s="57" t="s">
        <v>28</v>
      </c>
      <c r="AP106" s="57" t="s">
        <v>28</v>
      </c>
      <c r="AQ106" s="56" t="s">
        <v>29</v>
      </c>
      <c r="AR106" s="56" t="s">
        <v>28</v>
      </c>
      <c r="AS106" s="56" t="s">
        <v>28</v>
      </c>
      <c r="AT106" s="56" t="s">
        <v>29</v>
      </c>
      <c r="AU106" s="56" t="s">
        <v>28</v>
      </c>
      <c r="AV106" s="56" t="s">
        <v>28</v>
      </c>
      <c r="AW106" s="56" t="s">
        <v>28</v>
      </c>
      <c r="AX106" s="56" t="s">
        <v>28</v>
      </c>
      <c r="AY106" s="56" t="s">
        <v>28</v>
      </c>
      <c r="AZ106" s="58">
        <v>3</v>
      </c>
      <c r="BA106" s="59" t="s">
        <v>30</v>
      </c>
      <c r="BB106" s="81">
        <v>584</v>
      </c>
      <c r="BC106" s="59" t="s">
        <v>31</v>
      </c>
      <c r="BD106" s="38">
        <f t="shared" si="16"/>
        <v>4171.4285714285716</v>
      </c>
      <c r="BE106" s="46">
        <v>2.6</v>
      </c>
      <c r="BF106" s="59" t="s">
        <v>30</v>
      </c>
      <c r="BG106" s="57" t="s">
        <v>28</v>
      </c>
      <c r="BH106" s="45">
        <f>P106/100*47*12.91</f>
        <v>9816.021675</v>
      </c>
      <c r="BI106" s="45">
        <f>P106/100*47*25.82</f>
        <v>19632.04335</v>
      </c>
      <c r="BJ106" s="45">
        <v>26638.22</v>
      </c>
      <c r="BK106" s="86">
        <f t="shared" si="17"/>
        <v>56086.285025000005</v>
      </c>
      <c r="BL106" s="46">
        <f>BE106*(1-0.25)*(1-0.21)*(1-0.25)*1.2</f>
        <v>1.3864500000000002</v>
      </c>
      <c r="BM106" s="90">
        <f t="shared" si="18"/>
        <v>3.9864500000000005</v>
      </c>
      <c r="BN106" s="61" t="s">
        <v>310</v>
      </c>
      <c r="BO106" s="61" t="s">
        <v>32</v>
      </c>
    </row>
    <row r="107" spans="1:67" s="54" customFormat="1" ht="30">
      <c r="A107" s="55" t="s">
        <v>35</v>
      </c>
      <c r="B107" s="56" t="s">
        <v>36</v>
      </c>
      <c r="C107" s="36" t="s">
        <v>370</v>
      </c>
      <c r="D107" s="37" t="s">
        <v>376</v>
      </c>
      <c r="E107" s="57" t="s">
        <v>28</v>
      </c>
      <c r="F107" s="57" t="s">
        <v>29</v>
      </c>
      <c r="G107" s="57" t="s">
        <v>28</v>
      </c>
      <c r="H107" s="57" t="s">
        <v>28</v>
      </c>
      <c r="I107" s="57" t="s">
        <v>28</v>
      </c>
      <c r="J107" s="57" t="s">
        <v>28</v>
      </c>
      <c r="K107" s="58">
        <v>1788</v>
      </c>
      <c r="L107" s="58">
        <v>152344</v>
      </c>
      <c r="M107" s="57" t="s">
        <v>30</v>
      </c>
      <c r="N107" s="58"/>
      <c r="O107" s="59"/>
      <c r="P107" s="58">
        <f>L107/100*69</f>
        <v>105117.36</v>
      </c>
      <c r="Q107" s="58"/>
      <c r="R107" s="57"/>
      <c r="S107" s="56" t="s">
        <v>37</v>
      </c>
      <c r="T107" s="57" t="s">
        <v>29</v>
      </c>
      <c r="U107" s="58">
        <v>41127</v>
      </c>
      <c r="V107" s="57" t="s">
        <v>29</v>
      </c>
      <c r="W107" s="58">
        <v>5105</v>
      </c>
      <c r="X107" s="58">
        <v>100</v>
      </c>
      <c r="Y107" s="58">
        <v>2571</v>
      </c>
      <c r="Z107" s="59" t="s">
        <v>30</v>
      </c>
      <c r="AA107" s="58"/>
      <c r="AB107" s="58"/>
      <c r="AC107" s="58"/>
      <c r="AD107" s="59"/>
      <c r="AE107" s="58">
        <v>160</v>
      </c>
      <c r="AF107" s="58">
        <v>5073</v>
      </c>
      <c r="AG107" s="59" t="s">
        <v>30</v>
      </c>
      <c r="AH107" s="58">
        <v>12</v>
      </c>
      <c r="AI107" s="58">
        <v>2582</v>
      </c>
      <c r="AJ107" s="59" t="s">
        <v>30</v>
      </c>
      <c r="AK107" s="56" t="s">
        <v>28</v>
      </c>
      <c r="AL107" s="60"/>
      <c r="AM107" s="60"/>
      <c r="AN107" s="57" t="s">
        <v>29</v>
      </c>
      <c r="AO107" s="57" t="s">
        <v>28</v>
      </c>
      <c r="AP107" s="57" t="s">
        <v>28</v>
      </c>
      <c r="AQ107" s="56" t="s">
        <v>29</v>
      </c>
      <c r="AR107" s="56" t="s">
        <v>28</v>
      </c>
      <c r="AS107" s="56" t="s">
        <v>28</v>
      </c>
      <c r="AT107" s="56" t="s">
        <v>29</v>
      </c>
      <c r="AU107" s="56" t="s">
        <v>28</v>
      </c>
      <c r="AV107" s="56" t="s">
        <v>28</v>
      </c>
      <c r="AW107" s="56" t="s">
        <v>28</v>
      </c>
      <c r="AX107" s="56" t="s">
        <v>28</v>
      </c>
      <c r="AY107" s="56" t="s">
        <v>28</v>
      </c>
      <c r="AZ107" s="58">
        <v>32</v>
      </c>
      <c r="BA107" s="59" t="s">
        <v>30</v>
      </c>
      <c r="BB107" s="81">
        <v>1441</v>
      </c>
      <c r="BC107" s="59" t="s">
        <v>30</v>
      </c>
      <c r="BD107" s="38">
        <f t="shared" si="16"/>
        <v>10292.857142857143</v>
      </c>
      <c r="BE107" s="46">
        <v>8.8000000000000007</v>
      </c>
      <c r="BF107" s="59" t="s">
        <v>30</v>
      </c>
      <c r="BG107" s="57" t="s">
        <v>29</v>
      </c>
      <c r="BH107" s="45">
        <f>P107/100*31*17.99</f>
        <v>586229.004984</v>
      </c>
      <c r="BI107" s="45">
        <f>P107/100*31*35.98</f>
        <v>1172458.009968</v>
      </c>
      <c r="BJ107" s="45">
        <v>0</v>
      </c>
      <c r="BK107" s="86">
        <f t="shared" si="17"/>
        <v>1758687.014952</v>
      </c>
      <c r="BL107" s="46">
        <f>BE107*(1-0.25)*(1-0.25)*(1-0.375)*1.2</f>
        <v>3.7124999999999999</v>
      </c>
      <c r="BM107" s="90">
        <f t="shared" si="18"/>
        <v>12.512500000000001</v>
      </c>
      <c r="BN107" s="61" t="s">
        <v>32</v>
      </c>
      <c r="BO107" s="61" t="s">
        <v>32</v>
      </c>
    </row>
    <row r="108" spans="1:67" s="54" customFormat="1" ht="180">
      <c r="A108" s="55" t="s">
        <v>468</v>
      </c>
      <c r="B108" s="56" t="s">
        <v>27</v>
      </c>
      <c r="C108" s="36" t="s">
        <v>369</v>
      </c>
      <c r="D108" s="37" t="s">
        <v>375</v>
      </c>
      <c r="E108" s="57" t="s">
        <v>28</v>
      </c>
      <c r="F108" s="57" t="s">
        <v>29</v>
      </c>
      <c r="G108" s="57" t="s">
        <v>28</v>
      </c>
      <c r="H108" s="57" t="s">
        <v>28</v>
      </c>
      <c r="I108" s="57" t="s">
        <v>28</v>
      </c>
      <c r="J108" s="57" t="s">
        <v>28</v>
      </c>
      <c r="K108" s="58">
        <v>1894.5</v>
      </c>
      <c r="L108" s="58">
        <v>17089</v>
      </c>
      <c r="M108" s="57" t="s">
        <v>30</v>
      </c>
      <c r="N108" s="58">
        <v>9089</v>
      </c>
      <c r="O108" s="59" t="s">
        <v>31</v>
      </c>
      <c r="P108" s="58">
        <f>L108/100*72</f>
        <v>12304.079999999998</v>
      </c>
      <c r="Q108" s="58">
        <v>2163</v>
      </c>
      <c r="R108" s="57" t="s">
        <v>31</v>
      </c>
      <c r="S108" s="56" t="s">
        <v>205</v>
      </c>
      <c r="T108" s="57" t="s">
        <v>29</v>
      </c>
      <c r="U108" s="58"/>
      <c r="V108" s="57" t="s">
        <v>29</v>
      </c>
      <c r="W108" s="58">
        <v>1901</v>
      </c>
      <c r="X108" s="58">
        <v>31</v>
      </c>
      <c r="Y108" s="58">
        <v>1020</v>
      </c>
      <c r="Z108" s="59" t="s">
        <v>30</v>
      </c>
      <c r="AA108" s="58">
        <v>3</v>
      </c>
      <c r="AB108" s="58">
        <v>85</v>
      </c>
      <c r="AC108" s="58">
        <v>16</v>
      </c>
      <c r="AD108" s="59" t="s">
        <v>30</v>
      </c>
      <c r="AE108" s="58">
        <v>36</v>
      </c>
      <c r="AF108" s="58">
        <v>450</v>
      </c>
      <c r="AG108" s="59" t="s">
        <v>31</v>
      </c>
      <c r="AH108" s="58">
        <v>1</v>
      </c>
      <c r="AI108" s="58">
        <v>28</v>
      </c>
      <c r="AJ108" s="59" t="s">
        <v>30</v>
      </c>
      <c r="AK108" s="56" t="s">
        <v>29</v>
      </c>
      <c r="AL108" s="60">
        <v>4</v>
      </c>
      <c r="AM108" s="60">
        <v>2</v>
      </c>
      <c r="AN108" s="57" t="s">
        <v>29</v>
      </c>
      <c r="AO108" s="57" t="s">
        <v>28</v>
      </c>
      <c r="AP108" s="57" t="s">
        <v>28</v>
      </c>
      <c r="AQ108" s="56" t="s">
        <v>28</v>
      </c>
      <c r="AR108" s="56" t="s">
        <v>29</v>
      </c>
      <c r="AS108" s="56" t="s">
        <v>28</v>
      </c>
      <c r="AT108" s="56" t="s">
        <v>29</v>
      </c>
      <c r="AU108" s="56" t="s">
        <v>28</v>
      </c>
      <c r="AV108" s="56" t="s">
        <v>28</v>
      </c>
      <c r="AW108" s="56" t="s">
        <v>29</v>
      </c>
      <c r="AX108" s="56" t="s">
        <v>28</v>
      </c>
      <c r="AY108" s="56" t="s">
        <v>28</v>
      </c>
      <c r="AZ108" s="58">
        <v>66</v>
      </c>
      <c r="BA108" s="59" t="s">
        <v>30</v>
      </c>
      <c r="BB108" s="81">
        <v>2800</v>
      </c>
      <c r="BC108" s="59" t="s">
        <v>31</v>
      </c>
      <c r="BD108" s="38">
        <f t="shared" si="16"/>
        <v>20000</v>
      </c>
      <c r="BE108" s="46">
        <v>1.7</v>
      </c>
      <c r="BF108" s="59" t="s">
        <v>30</v>
      </c>
      <c r="BG108" s="57" t="s">
        <v>28</v>
      </c>
      <c r="BH108" s="45">
        <f>P108/100*44*14.08</f>
        <v>76226.236415999985</v>
      </c>
      <c r="BI108" s="45">
        <f>P108/100*44*28.16</f>
        <v>152452.47283199997</v>
      </c>
      <c r="BJ108" s="45">
        <v>51391.217499999999</v>
      </c>
      <c r="BK108" s="86">
        <f t="shared" si="17"/>
        <v>280069.92674799997</v>
      </c>
      <c r="BL108" s="46">
        <f t="shared" ref="BL108:BL116" si="19">BE108*(1-0.25)*(1-0.21)*(1-0.25)*1.2</f>
        <v>0.90652499999999991</v>
      </c>
      <c r="BM108" s="90">
        <f t="shared" si="18"/>
        <v>2.606525</v>
      </c>
      <c r="BN108" s="61" t="s">
        <v>206</v>
      </c>
      <c r="BO108" s="61" t="s">
        <v>207</v>
      </c>
    </row>
    <row r="109" spans="1:67" s="54" customFormat="1" ht="45">
      <c r="A109" s="55" t="s">
        <v>354</v>
      </c>
      <c r="B109" s="56" t="s">
        <v>42</v>
      </c>
      <c r="C109" s="36" t="s">
        <v>373</v>
      </c>
      <c r="D109" s="37" t="s">
        <v>377</v>
      </c>
      <c r="E109" s="57" t="s">
        <v>28</v>
      </c>
      <c r="F109" s="57" t="s">
        <v>29</v>
      </c>
      <c r="G109" s="57" t="s">
        <v>28</v>
      </c>
      <c r="H109" s="57" t="s">
        <v>28</v>
      </c>
      <c r="I109" s="57" t="s">
        <v>28</v>
      </c>
      <c r="J109" s="57" t="s">
        <v>28</v>
      </c>
      <c r="K109" s="58"/>
      <c r="L109" s="58">
        <v>4157</v>
      </c>
      <c r="M109" s="57" t="s">
        <v>31</v>
      </c>
      <c r="N109" s="58"/>
      <c r="O109" s="59" t="s">
        <v>31</v>
      </c>
      <c r="P109" s="58">
        <f>L109/100*75</f>
        <v>3117.75</v>
      </c>
      <c r="Q109" s="58"/>
      <c r="R109" s="57"/>
      <c r="S109" s="56" t="s">
        <v>353</v>
      </c>
      <c r="T109" s="57" t="s">
        <v>29</v>
      </c>
      <c r="U109" s="58">
        <v>2310</v>
      </c>
      <c r="V109" s="57" t="s">
        <v>29</v>
      </c>
      <c r="W109" s="58">
        <v>486</v>
      </c>
      <c r="X109" s="58">
        <v>3</v>
      </c>
      <c r="Y109" s="58">
        <v>264</v>
      </c>
      <c r="Z109" s="59" t="s">
        <v>31</v>
      </c>
      <c r="AA109" s="58">
        <v>3</v>
      </c>
      <c r="AB109" s="58">
        <v>3</v>
      </c>
      <c r="AC109" s="58"/>
      <c r="AD109" s="59" t="s">
        <v>31</v>
      </c>
      <c r="AE109" s="58">
        <v>3</v>
      </c>
      <c r="AF109" s="58">
        <v>331</v>
      </c>
      <c r="AG109" s="59" t="s">
        <v>31</v>
      </c>
      <c r="AH109" s="58">
        <v>0</v>
      </c>
      <c r="AI109" s="58">
        <v>0</v>
      </c>
      <c r="AJ109" s="59" t="s">
        <v>31</v>
      </c>
      <c r="AK109" s="56" t="s">
        <v>28</v>
      </c>
      <c r="AL109" s="60"/>
      <c r="AM109" s="60"/>
      <c r="AN109" s="57" t="s">
        <v>29</v>
      </c>
      <c r="AO109" s="57" t="s">
        <v>29</v>
      </c>
      <c r="AP109" s="57"/>
      <c r="AQ109" s="56" t="s">
        <v>28</v>
      </c>
      <c r="AR109" s="56" t="s">
        <v>28</v>
      </c>
      <c r="AS109" s="56" t="s">
        <v>28</v>
      </c>
      <c r="AT109" s="56" t="s">
        <v>28</v>
      </c>
      <c r="AU109" s="56" t="s">
        <v>28</v>
      </c>
      <c r="AV109" s="56" t="s">
        <v>28</v>
      </c>
      <c r="AW109" s="56" t="s">
        <v>28</v>
      </c>
      <c r="AX109" s="56" t="s">
        <v>28</v>
      </c>
      <c r="AY109" s="56" t="s">
        <v>28</v>
      </c>
      <c r="AZ109" s="58">
        <v>3</v>
      </c>
      <c r="BA109" s="59" t="s">
        <v>31</v>
      </c>
      <c r="BB109" s="81">
        <v>238</v>
      </c>
      <c r="BC109" s="59" t="s">
        <v>31</v>
      </c>
      <c r="BD109" s="38">
        <f t="shared" si="16"/>
        <v>1700</v>
      </c>
      <c r="BE109" s="46">
        <v>1.1000000000000001</v>
      </c>
      <c r="BF109" s="59" t="s">
        <v>31</v>
      </c>
      <c r="BG109" s="57" t="s">
        <v>29</v>
      </c>
      <c r="BH109" s="45">
        <f>P109/100*47*12.91</f>
        <v>18917.571674999999</v>
      </c>
      <c r="BI109" s="45">
        <f>P109/100*47*25.82</f>
        <v>37835.143349999998</v>
      </c>
      <c r="BJ109" s="45">
        <v>23774.376259878583</v>
      </c>
      <c r="BK109" s="86">
        <f t="shared" si="17"/>
        <v>80527.091284878581</v>
      </c>
      <c r="BL109" s="46">
        <f t="shared" si="19"/>
        <v>0.58657500000000007</v>
      </c>
      <c r="BM109" s="90">
        <f t="shared" si="18"/>
        <v>1.6865750000000002</v>
      </c>
      <c r="BN109" s="61" t="s">
        <v>32</v>
      </c>
      <c r="BO109" s="61" t="s">
        <v>32</v>
      </c>
    </row>
    <row r="110" spans="1:67" s="54" customFormat="1" ht="45">
      <c r="A110" s="55" t="s">
        <v>355</v>
      </c>
      <c r="B110" s="56" t="s">
        <v>42</v>
      </c>
      <c r="C110" s="36" t="s">
        <v>373</v>
      </c>
      <c r="D110" s="37" t="s">
        <v>375</v>
      </c>
      <c r="E110" s="57" t="s">
        <v>29</v>
      </c>
      <c r="F110" s="57" t="s">
        <v>28</v>
      </c>
      <c r="G110" s="57" t="s">
        <v>28</v>
      </c>
      <c r="H110" s="57" t="s">
        <v>28</v>
      </c>
      <c r="I110" s="57" t="s">
        <v>28</v>
      </c>
      <c r="J110" s="57" t="s">
        <v>28</v>
      </c>
      <c r="K110" s="58"/>
      <c r="L110" s="58">
        <v>10614</v>
      </c>
      <c r="M110" s="57" t="s">
        <v>31</v>
      </c>
      <c r="N110" s="58"/>
      <c r="O110" s="59"/>
      <c r="P110" s="58">
        <f>L110/100*72</f>
        <v>7642.08</v>
      </c>
      <c r="Q110" s="58">
        <v>2038</v>
      </c>
      <c r="R110" s="57" t="s">
        <v>31</v>
      </c>
      <c r="S110" s="56" t="s">
        <v>353</v>
      </c>
      <c r="T110" s="57" t="s">
        <v>29</v>
      </c>
      <c r="U110" s="58">
        <v>5899</v>
      </c>
      <c r="V110" s="57" t="s">
        <v>29</v>
      </c>
      <c r="W110" s="58">
        <v>1243</v>
      </c>
      <c r="X110" s="58">
        <v>7</v>
      </c>
      <c r="Y110" s="58">
        <v>675</v>
      </c>
      <c r="Z110" s="59" t="s">
        <v>31</v>
      </c>
      <c r="AA110" s="58">
        <v>2</v>
      </c>
      <c r="AB110" s="58">
        <v>3</v>
      </c>
      <c r="AC110" s="58"/>
      <c r="AD110" s="59" t="s">
        <v>31</v>
      </c>
      <c r="AE110" s="58">
        <v>8</v>
      </c>
      <c r="AF110" s="58">
        <v>847</v>
      </c>
      <c r="AG110" s="59" t="s">
        <v>31</v>
      </c>
      <c r="AH110" s="58">
        <v>0</v>
      </c>
      <c r="AI110" s="58">
        <v>0</v>
      </c>
      <c r="AJ110" s="59" t="s">
        <v>31</v>
      </c>
      <c r="AK110" s="56" t="s">
        <v>28</v>
      </c>
      <c r="AL110" s="60"/>
      <c r="AM110" s="60"/>
      <c r="AN110" s="57" t="s">
        <v>29</v>
      </c>
      <c r="AO110" s="57" t="s">
        <v>28</v>
      </c>
      <c r="AP110" s="57" t="s">
        <v>28</v>
      </c>
      <c r="AQ110" s="56" t="s">
        <v>28</v>
      </c>
      <c r="AR110" s="56" t="s">
        <v>28</v>
      </c>
      <c r="AS110" s="56" t="s">
        <v>28</v>
      </c>
      <c r="AT110" s="56" t="s">
        <v>28</v>
      </c>
      <c r="AU110" s="56" t="s">
        <v>28</v>
      </c>
      <c r="AV110" s="56" t="s">
        <v>28</v>
      </c>
      <c r="AW110" s="56" t="s">
        <v>28</v>
      </c>
      <c r="AX110" s="56" t="s">
        <v>28</v>
      </c>
      <c r="AY110" s="56" t="s">
        <v>28</v>
      </c>
      <c r="AZ110" s="58">
        <v>7</v>
      </c>
      <c r="BA110" s="59" t="s">
        <v>31</v>
      </c>
      <c r="BB110" s="81">
        <v>607</v>
      </c>
      <c r="BC110" s="59" t="s">
        <v>31</v>
      </c>
      <c r="BD110" s="38">
        <f t="shared" si="16"/>
        <v>4335.7142857142853</v>
      </c>
      <c r="BE110" s="46">
        <v>3</v>
      </c>
      <c r="BF110" s="59" t="s">
        <v>31</v>
      </c>
      <c r="BG110" s="57" t="s">
        <v>29</v>
      </c>
      <c r="BH110" s="45">
        <f>P110/100*44*12.91</f>
        <v>43410.071231999995</v>
      </c>
      <c r="BI110" s="45">
        <f>P110/100*44*25.82</f>
        <v>86820.14246399999</v>
      </c>
      <c r="BJ110" s="45">
        <v>60702.725432367428</v>
      </c>
      <c r="BK110" s="86">
        <f t="shared" si="17"/>
        <v>190932.9391283674</v>
      </c>
      <c r="BL110" s="46">
        <f t="shared" si="19"/>
        <v>1.59975</v>
      </c>
      <c r="BM110" s="90">
        <f t="shared" si="18"/>
        <v>4.5997500000000002</v>
      </c>
      <c r="BN110" s="61" t="s">
        <v>32</v>
      </c>
      <c r="BO110" s="61" t="s">
        <v>32</v>
      </c>
    </row>
    <row r="111" spans="1:67" s="54" customFormat="1" ht="30">
      <c r="A111" s="55" t="s">
        <v>220</v>
      </c>
      <c r="B111" s="56" t="s">
        <v>27</v>
      </c>
      <c r="C111" s="36" t="s">
        <v>373</v>
      </c>
      <c r="D111" s="39" t="s">
        <v>377</v>
      </c>
      <c r="E111" s="57" t="s">
        <v>28</v>
      </c>
      <c r="F111" s="57" t="s">
        <v>29</v>
      </c>
      <c r="G111" s="57" t="s">
        <v>28</v>
      </c>
      <c r="H111" s="57" t="s">
        <v>28</v>
      </c>
      <c r="I111" s="57" t="s">
        <v>28</v>
      </c>
      <c r="J111" s="57" t="s">
        <v>28</v>
      </c>
      <c r="K111" s="58">
        <v>636</v>
      </c>
      <c r="L111" s="58">
        <v>3000</v>
      </c>
      <c r="M111" s="57" t="s">
        <v>31</v>
      </c>
      <c r="N111" s="58">
        <v>2500</v>
      </c>
      <c r="O111" s="59" t="s">
        <v>31</v>
      </c>
      <c r="P111" s="58">
        <f>L111/100*75</f>
        <v>2250</v>
      </c>
      <c r="Q111" s="58">
        <v>500</v>
      </c>
      <c r="R111" s="57" t="s">
        <v>31</v>
      </c>
      <c r="S111" s="56" t="s">
        <v>37</v>
      </c>
      <c r="T111" s="57" t="s">
        <v>29</v>
      </c>
      <c r="U111" s="58"/>
      <c r="V111" s="57" t="s">
        <v>28</v>
      </c>
      <c r="W111" s="58"/>
      <c r="X111" s="58">
        <v>20</v>
      </c>
      <c r="Y111" s="58">
        <v>600</v>
      </c>
      <c r="Z111" s="59" t="s">
        <v>31</v>
      </c>
      <c r="AA111" s="58"/>
      <c r="AB111" s="58"/>
      <c r="AC111" s="58">
        <v>20</v>
      </c>
      <c r="AD111" s="59" t="s">
        <v>31</v>
      </c>
      <c r="AE111" s="58">
        <v>20</v>
      </c>
      <c r="AF111" s="58">
        <v>600</v>
      </c>
      <c r="AG111" s="59" t="s">
        <v>31</v>
      </c>
      <c r="AH111" s="58"/>
      <c r="AI111" s="58"/>
      <c r="AJ111" s="59" t="s">
        <v>31</v>
      </c>
      <c r="AK111" s="56" t="s">
        <v>29</v>
      </c>
      <c r="AL111" s="60">
        <v>1.5</v>
      </c>
      <c r="AM111" s="60">
        <v>0.5</v>
      </c>
      <c r="AN111" s="57" t="s">
        <v>29</v>
      </c>
      <c r="AO111" s="57" t="s">
        <v>28</v>
      </c>
      <c r="AP111" s="57" t="s">
        <v>28</v>
      </c>
      <c r="AQ111" s="56" t="s">
        <v>28</v>
      </c>
      <c r="AR111" s="56" t="s">
        <v>28</v>
      </c>
      <c r="AS111" s="56" t="s">
        <v>28</v>
      </c>
      <c r="AT111" s="56" t="s">
        <v>29</v>
      </c>
      <c r="AU111" s="56" t="s">
        <v>28</v>
      </c>
      <c r="AV111" s="56" t="s">
        <v>28</v>
      </c>
      <c r="AW111" s="56" t="s">
        <v>29</v>
      </c>
      <c r="AX111" s="56" t="s">
        <v>33</v>
      </c>
      <c r="AY111" s="56" t="s">
        <v>221</v>
      </c>
      <c r="AZ111" s="58">
        <v>8</v>
      </c>
      <c r="BA111" s="59" t="s">
        <v>30</v>
      </c>
      <c r="BB111" s="81">
        <v>780</v>
      </c>
      <c r="BC111" s="59" t="s">
        <v>30</v>
      </c>
      <c r="BD111" s="38">
        <f t="shared" si="16"/>
        <v>5571.4285714285716</v>
      </c>
      <c r="BE111" s="46">
        <v>0</v>
      </c>
      <c r="BF111" s="59" t="s">
        <v>30</v>
      </c>
      <c r="BG111" s="57" t="s">
        <v>73</v>
      </c>
      <c r="BH111" s="45">
        <f>P111/100*47*12.91</f>
        <v>13652.325000000001</v>
      </c>
      <c r="BI111" s="45">
        <f>P111/100*47*25.82</f>
        <v>27304.65</v>
      </c>
      <c r="BJ111" s="45">
        <v>2607.5</v>
      </c>
      <c r="BK111" s="86">
        <f t="shared" si="17"/>
        <v>43564.475000000006</v>
      </c>
      <c r="BL111" s="46">
        <f t="shared" si="19"/>
        <v>0</v>
      </c>
      <c r="BM111" s="90">
        <f t="shared" si="18"/>
        <v>0</v>
      </c>
      <c r="BN111" s="61" t="s">
        <v>106</v>
      </c>
      <c r="BO111" s="61" t="s">
        <v>222</v>
      </c>
    </row>
    <row r="112" spans="1:67" s="54" customFormat="1" ht="30">
      <c r="A112" s="55" t="s">
        <v>128</v>
      </c>
      <c r="B112" s="56" t="s">
        <v>27</v>
      </c>
      <c r="C112" s="36" t="s">
        <v>371</v>
      </c>
      <c r="D112" s="37" t="s">
        <v>86</v>
      </c>
      <c r="E112" s="57" t="s">
        <v>29</v>
      </c>
      <c r="F112" s="57" t="s">
        <v>28</v>
      </c>
      <c r="G112" s="57" t="s">
        <v>28</v>
      </c>
      <c r="H112" s="57" t="s">
        <v>28</v>
      </c>
      <c r="I112" s="57" t="s">
        <v>28</v>
      </c>
      <c r="J112" s="57" t="s">
        <v>28</v>
      </c>
      <c r="K112" s="58"/>
      <c r="L112" s="58"/>
      <c r="M112" s="57" t="s">
        <v>30</v>
      </c>
      <c r="N112" s="58"/>
      <c r="O112" s="59" t="s">
        <v>30</v>
      </c>
      <c r="P112" s="58">
        <f>L112/100*75</f>
        <v>0</v>
      </c>
      <c r="Q112" s="58"/>
      <c r="R112" s="57" t="s">
        <v>30</v>
      </c>
      <c r="S112" s="56" t="s">
        <v>129</v>
      </c>
      <c r="T112" s="57" t="s">
        <v>29</v>
      </c>
      <c r="U112" s="58"/>
      <c r="V112" s="57" t="s">
        <v>28</v>
      </c>
      <c r="W112" s="58"/>
      <c r="X112" s="58"/>
      <c r="Y112" s="58"/>
      <c r="Z112" s="59" t="s">
        <v>30</v>
      </c>
      <c r="AA112" s="58"/>
      <c r="AB112" s="58"/>
      <c r="AC112" s="58"/>
      <c r="AD112" s="59" t="s">
        <v>30</v>
      </c>
      <c r="AE112" s="58">
        <v>6</v>
      </c>
      <c r="AF112" s="58"/>
      <c r="AG112" s="59" t="s">
        <v>30</v>
      </c>
      <c r="AH112" s="58"/>
      <c r="AI112" s="58"/>
      <c r="AJ112" s="59" t="s">
        <v>30</v>
      </c>
      <c r="AK112" s="56" t="s">
        <v>28</v>
      </c>
      <c r="AL112" s="60"/>
      <c r="AM112" s="60"/>
      <c r="AN112" s="57" t="s">
        <v>28</v>
      </c>
      <c r="AO112" s="57" t="s">
        <v>28</v>
      </c>
      <c r="AP112" s="57" t="s">
        <v>28</v>
      </c>
      <c r="AQ112" s="56" t="s">
        <v>28</v>
      </c>
      <c r="AR112" s="56" t="s">
        <v>28</v>
      </c>
      <c r="AS112" s="56" t="s">
        <v>28</v>
      </c>
      <c r="AT112" s="56" t="s">
        <v>29</v>
      </c>
      <c r="AU112" s="56" t="s">
        <v>28</v>
      </c>
      <c r="AV112" s="56" t="s">
        <v>28</v>
      </c>
      <c r="AW112" s="56" t="s">
        <v>29</v>
      </c>
      <c r="AX112" s="56" t="s">
        <v>28</v>
      </c>
      <c r="AY112" s="56" t="s">
        <v>28</v>
      </c>
      <c r="AZ112" s="58">
        <v>10</v>
      </c>
      <c r="BA112" s="59" t="s">
        <v>31</v>
      </c>
      <c r="BB112" s="81" t="s">
        <v>86</v>
      </c>
      <c r="BC112" s="59" t="s">
        <v>31</v>
      </c>
      <c r="BD112" s="38"/>
      <c r="BE112" s="46">
        <v>0</v>
      </c>
      <c r="BF112" s="59" t="s">
        <v>30</v>
      </c>
      <c r="BG112" s="57" t="s">
        <v>28</v>
      </c>
      <c r="BH112" s="45"/>
      <c r="BI112" s="45"/>
      <c r="BJ112" s="45">
        <v>0</v>
      </c>
      <c r="BK112" s="86">
        <f t="shared" si="17"/>
        <v>0</v>
      </c>
      <c r="BL112" s="46">
        <f t="shared" si="19"/>
        <v>0</v>
      </c>
      <c r="BM112" s="90">
        <f t="shared" si="18"/>
        <v>0</v>
      </c>
      <c r="BN112" s="61" t="s">
        <v>32</v>
      </c>
      <c r="BO112" s="61" t="s">
        <v>32</v>
      </c>
    </row>
    <row r="113" spans="1:67" s="54" customFormat="1" ht="60">
      <c r="A113" s="55" t="s">
        <v>306</v>
      </c>
      <c r="B113" s="56" t="s">
        <v>27</v>
      </c>
      <c r="C113" s="36" t="s">
        <v>370</v>
      </c>
      <c r="D113" s="37" t="s">
        <v>377</v>
      </c>
      <c r="E113" s="57" t="s">
        <v>28</v>
      </c>
      <c r="F113" s="57" t="s">
        <v>29</v>
      </c>
      <c r="G113" s="57" t="s">
        <v>28</v>
      </c>
      <c r="H113" s="57" t="s">
        <v>28</v>
      </c>
      <c r="I113" s="57" t="s">
        <v>28</v>
      </c>
      <c r="J113" s="57" t="s">
        <v>28</v>
      </c>
      <c r="K113" s="58">
        <v>1200</v>
      </c>
      <c r="L113" s="58">
        <v>9536</v>
      </c>
      <c r="M113" s="57" t="s">
        <v>31</v>
      </c>
      <c r="N113" s="58">
        <v>6399</v>
      </c>
      <c r="O113" s="59" t="s">
        <v>31</v>
      </c>
      <c r="P113" s="58">
        <f>L113/100*75</f>
        <v>7152</v>
      </c>
      <c r="Q113" s="58">
        <v>3137</v>
      </c>
      <c r="R113" s="57" t="s">
        <v>31</v>
      </c>
      <c r="S113" s="56" t="s">
        <v>28</v>
      </c>
      <c r="T113" s="57" t="s">
        <v>29</v>
      </c>
      <c r="U113" s="58">
        <v>3111</v>
      </c>
      <c r="V113" s="57" t="s">
        <v>29</v>
      </c>
      <c r="W113" s="58">
        <v>2023</v>
      </c>
      <c r="X113" s="58">
        <v>19</v>
      </c>
      <c r="Y113" s="58">
        <v>1079</v>
      </c>
      <c r="Z113" s="59" t="s">
        <v>30</v>
      </c>
      <c r="AA113" s="58">
        <v>15</v>
      </c>
      <c r="AB113" s="58">
        <v>415</v>
      </c>
      <c r="AC113" s="58">
        <v>10</v>
      </c>
      <c r="AD113" s="59" t="s">
        <v>31</v>
      </c>
      <c r="AE113" s="58">
        <v>47</v>
      </c>
      <c r="AF113" s="58">
        <v>2000</v>
      </c>
      <c r="AG113" s="59" t="s">
        <v>31</v>
      </c>
      <c r="AH113" s="58">
        <v>38</v>
      </c>
      <c r="AI113" s="58">
        <v>5000</v>
      </c>
      <c r="AJ113" s="59" t="s">
        <v>31</v>
      </c>
      <c r="AK113" s="56" t="s">
        <v>44</v>
      </c>
      <c r="AL113" s="60"/>
      <c r="AM113" s="60"/>
      <c r="AN113" s="57" t="s">
        <v>29</v>
      </c>
      <c r="AO113" s="57" t="s">
        <v>28</v>
      </c>
      <c r="AP113" s="57" t="s">
        <v>28</v>
      </c>
      <c r="AQ113" s="56" t="s">
        <v>28</v>
      </c>
      <c r="AR113" s="56" t="s">
        <v>28</v>
      </c>
      <c r="AS113" s="56" t="s">
        <v>28</v>
      </c>
      <c r="AT113" s="56" t="s">
        <v>29</v>
      </c>
      <c r="AU113" s="56" t="s">
        <v>29</v>
      </c>
      <c r="AV113" s="56" t="s">
        <v>29</v>
      </c>
      <c r="AW113" s="56" t="s">
        <v>29</v>
      </c>
      <c r="AX113" s="56" t="s">
        <v>28</v>
      </c>
      <c r="AY113" s="56" t="s">
        <v>28</v>
      </c>
      <c r="AZ113" s="58">
        <v>60</v>
      </c>
      <c r="BA113" s="59" t="s">
        <v>30</v>
      </c>
      <c r="BB113" s="81">
        <v>5900</v>
      </c>
      <c r="BC113" s="59" t="s">
        <v>31</v>
      </c>
      <c r="BD113" s="38">
        <f t="shared" ref="BD113:BD136" si="20">BB113/7*50</f>
        <v>42142.857142857145</v>
      </c>
      <c r="BE113" s="46">
        <v>2</v>
      </c>
      <c r="BF113" s="59" t="s">
        <v>31</v>
      </c>
      <c r="BG113" s="57" t="s">
        <v>29</v>
      </c>
      <c r="BH113" s="45">
        <f>P113/100*47*17.99</f>
        <v>60472.305599999985</v>
      </c>
      <c r="BI113" s="45">
        <f>P113/100*47*35.98</f>
        <v>120944.61119999997</v>
      </c>
      <c r="BJ113" s="45">
        <v>37490.634999999995</v>
      </c>
      <c r="BK113" s="86">
        <f t="shared" si="17"/>
        <v>218907.55179999996</v>
      </c>
      <c r="BL113" s="46">
        <f t="shared" si="19"/>
        <v>1.0665</v>
      </c>
      <c r="BM113" s="90">
        <f t="shared" si="18"/>
        <v>3.0665</v>
      </c>
      <c r="BN113" s="61" t="s">
        <v>307</v>
      </c>
      <c r="BO113" s="61" t="s">
        <v>308</v>
      </c>
    </row>
    <row r="114" spans="1:67" s="54" customFormat="1" ht="45">
      <c r="A114" s="55" t="s">
        <v>404</v>
      </c>
      <c r="B114" s="56" t="s">
        <v>27</v>
      </c>
      <c r="C114" s="36" t="s">
        <v>369</v>
      </c>
      <c r="D114" s="37" t="s">
        <v>377</v>
      </c>
      <c r="E114" s="57" t="s">
        <v>29</v>
      </c>
      <c r="F114" s="57" t="s">
        <v>28</v>
      </c>
      <c r="G114" s="57" t="s">
        <v>28</v>
      </c>
      <c r="H114" s="57" t="s">
        <v>28</v>
      </c>
      <c r="I114" s="57" t="s">
        <v>28</v>
      </c>
      <c r="J114" s="57" t="s">
        <v>28</v>
      </c>
      <c r="K114" s="58">
        <v>2000</v>
      </c>
      <c r="L114" s="58">
        <v>3000</v>
      </c>
      <c r="M114" s="57" t="s">
        <v>31</v>
      </c>
      <c r="N114" s="58">
        <v>500</v>
      </c>
      <c r="O114" s="59" t="s">
        <v>31</v>
      </c>
      <c r="P114" s="58">
        <f>L114/100*75</f>
        <v>2250</v>
      </c>
      <c r="Q114" s="58">
        <v>500</v>
      </c>
      <c r="R114" s="57" t="s">
        <v>31</v>
      </c>
      <c r="S114" s="56" t="s">
        <v>28</v>
      </c>
      <c r="T114" s="57" t="s">
        <v>29</v>
      </c>
      <c r="U114" s="58"/>
      <c r="V114" s="57" t="s">
        <v>29</v>
      </c>
      <c r="W114" s="58"/>
      <c r="X114" s="58">
        <v>17</v>
      </c>
      <c r="Y114" s="58">
        <v>1006</v>
      </c>
      <c r="Z114" s="59" t="s">
        <v>30</v>
      </c>
      <c r="AA114" s="58">
        <v>2</v>
      </c>
      <c r="AB114" s="58">
        <v>30</v>
      </c>
      <c r="AC114" s="58">
        <v>20</v>
      </c>
      <c r="AD114" s="59" t="s">
        <v>30</v>
      </c>
      <c r="AE114" s="58">
        <v>0</v>
      </c>
      <c r="AF114" s="58"/>
      <c r="AG114" s="59" t="s">
        <v>30</v>
      </c>
      <c r="AH114" s="58">
        <v>0</v>
      </c>
      <c r="AI114" s="58"/>
      <c r="AJ114" s="59" t="s">
        <v>30</v>
      </c>
      <c r="AK114" s="56" t="s">
        <v>28</v>
      </c>
      <c r="AL114" s="60"/>
      <c r="AM114" s="60"/>
      <c r="AN114" s="57" t="s">
        <v>28</v>
      </c>
      <c r="AO114" s="57" t="s">
        <v>28</v>
      </c>
      <c r="AP114" s="57" t="s">
        <v>28</v>
      </c>
      <c r="AQ114" s="56" t="s">
        <v>28</v>
      </c>
      <c r="AR114" s="56" t="s">
        <v>29</v>
      </c>
      <c r="AS114" s="56" t="s">
        <v>29</v>
      </c>
      <c r="AT114" s="56" t="s">
        <v>29</v>
      </c>
      <c r="AU114" s="56" t="s">
        <v>28</v>
      </c>
      <c r="AV114" s="56" t="s">
        <v>28</v>
      </c>
      <c r="AW114" s="56" t="s">
        <v>29</v>
      </c>
      <c r="AX114" s="56" t="s">
        <v>28</v>
      </c>
      <c r="AY114" s="56" t="s">
        <v>28</v>
      </c>
      <c r="AZ114" s="58">
        <v>10</v>
      </c>
      <c r="BA114" s="59" t="s">
        <v>30</v>
      </c>
      <c r="BB114" s="81">
        <v>500</v>
      </c>
      <c r="BC114" s="59" t="s">
        <v>31</v>
      </c>
      <c r="BD114" s="38">
        <f t="shared" si="20"/>
        <v>3571.4285714285716</v>
      </c>
      <c r="BE114" s="46">
        <v>0</v>
      </c>
      <c r="BF114" s="59" t="s">
        <v>30</v>
      </c>
      <c r="BG114" s="57" t="s">
        <v>29</v>
      </c>
      <c r="BH114" s="45">
        <f>P114/100*47*14.08</f>
        <v>14889.6</v>
      </c>
      <c r="BI114" s="45">
        <f>P114/100*47*28.16</f>
        <v>29779.200000000001</v>
      </c>
      <c r="BJ114" s="45">
        <v>0</v>
      </c>
      <c r="BK114" s="86">
        <f t="shared" si="17"/>
        <v>44668.800000000003</v>
      </c>
      <c r="BL114" s="46">
        <f t="shared" si="19"/>
        <v>0</v>
      </c>
      <c r="BM114" s="90">
        <f t="shared" si="18"/>
        <v>0</v>
      </c>
      <c r="BN114" s="61" t="s">
        <v>456</v>
      </c>
      <c r="BO114" s="61" t="s">
        <v>32</v>
      </c>
    </row>
    <row r="115" spans="1:67" s="54" customFormat="1" ht="45">
      <c r="A115" s="55" t="s">
        <v>469</v>
      </c>
      <c r="B115" s="56" t="s">
        <v>27</v>
      </c>
      <c r="C115" s="36" t="s">
        <v>370</v>
      </c>
      <c r="D115" s="37" t="s">
        <v>375</v>
      </c>
      <c r="E115" s="57" t="s">
        <v>28</v>
      </c>
      <c r="F115" s="57" t="s">
        <v>28</v>
      </c>
      <c r="G115" s="57" t="s">
        <v>29</v>
      </c>
      <c r="H115" s="57" t="s">
        <v>28</v>
      </c>
      <c r="I115" s="57" t="s">
        <v>28</v>
      </c>
      <c r="J115" s="57" t="s">
        <v>28</v>
      </c>
      <c r="K115" s="58">
        <v>1978</v>
      </c>
      <c r="L115" s="58">
        <v>22038</v>
      </c>
      <c r="M115" s="57" t="s">
        <v>30</v>
      </c>
      <c r="N115" s="58">
        <v>15450</v>
      </c>
      <c r="O115" s="59" t="s">
        <v>30</v>
      </c>
      <c r="P115" s="58">
        <f>L115/100*72</f>
        <v>15867.36</v>
      </c>
      <c r="Q115" s="58">
        <v>2125</v>
      </c>
      <c r="R115" s="57" t="s">
        <v>30</v>
      </c>
      <c r="S115" s="56" t="s">
        <v>165</v>
      </c>
      <c r="T115" s="57" t="s">
        <v>29</v>
      </c>
      <c r="U115" s="58"/>
      <c r="V115" s="57" t="s">
        <v>29</v>
      </c>
      <c r="W115" s="58">
        <v>5381</v>
      </c>
      <c r="X115" s="58">
        <v>30</v>
      </c>
      <c r="Y115" s="58">
        <v>1229</v>
      </c>
      <c r="Z115" s="59"/>
      <c r="AA115" s="58">
        <v>3</v>
      </c>
      <c r="AB115" s="58">
        <v>89</v>
      </c>
      <c r="AC115" s="58">
        <v>18</v>
      </c>
      <c r="AD115" s="59" t="s">
        <v>30</v>
      </c>
      <c r="AE115" s="58">
        <v>20</v>
      </c>
      <c r="AF115" s="58">
        <v>380</v>
      </c>
      <c r="AG115" s="59" t="s">
        <v>31</v>
      </c>
      <c r="AH115" s="58">
        <v>15</v>
      </c>
      <c r="AI115" s="58">
        <v>500</v>
      </c>
      <c r="AJ115" s="59" t="s">
        <v>31</v>
      </c>
      <c r="AK115" s="56" t="s">
        <v>29</v>
      </c>
      <c r="AL115" s="60">
        <v>4.5</v>
      </c>
      <c r="AM115" s="60">
        <v>0</v>
      </c>
      <c r="AN115" s="57" t="s">
        <v>29</v>
      </c>
      <c r="AO115" s="57" t="s">
        <v>28</v>
      </c>
      <c r="AP115" s="57" t="s">
        <v>28</v>
      </c>
      <c r="AQ115" s="56" t="s">
        <v>28</v>
      </c>
      <c r="AR115" s="56" t="s">
        <v>29</v>
      </c>
      <c r="AS115" s="56" t="s">
        <v>29</v>
      </c>
      <c r="AT115" s="56" t="s">
        <v>29</v>
      </c>
      <c r="AU115" s="56" t="s">
        <v>29</v>
      </c>
      <c r="AV115" s="56" t="s">
        <v>28</v>
      </c>
      <c r="AW115" s="56" t="s">
        <v>28</v>
      </c>
      <c r="AX115" s="56" t="s">
        <v>28</v>
      </c>
      <c r="AY115" s="56" t="s">
        <v>28</v>
      </c>
      <c r="AZ115" s="58">
        <v>12</v>
      </c>
      <c r="BA115" s="59" t="s">
        <v>30</v>
      </c>
      <c r="BB115" s="81">
        <v>172.5</v>
      </c>
      <c r="BC115" s="59" t="s">
        <v>30</v>
      </c>
      <c r="BD115" s="38">
        <f t="shared" si="20"/>
        <v>1232.1428571428571</v>
      </c>
      <c r="BE115" s="46">
        <v>3.9</v>
      </c>
      <c r="BF115" s="59" t="s">
        <v>30</v>
      </c>
      <c r="BG115" s="57" t="s">
        <v>28</v>
      </c>
      <c r="BH115" s="45">
        <f>P115/100*44*17.99</f>
        <v>125599.67481599998</v>
      </c>
      <c r="BI115" s="45">
        <f>P115/100*44*35.98</f>
        <v>251199.34963199997</v>
      </c>
      <c r="BJ115" s="45">
        <v>119061.0575</v>
      </c>
      <c r="BK115" s="86">
        <f t="shared" si="17"/>
        <v>495860.08194799995</v>
      </c>
      <c r="BL115" s="46">
        <f t="shared" si="19"/>
        <v>2.0796749999999999</v>
      </c>
      <c r="BM115" s="90">
        <f t="shared" si="18"/>
        <v>5.9796750000000003</v>
      </c>
      <c r="BN115" s="61" t="s">
        <v>166</v>
      </c>
      <c r="BO115" s="61" t="s">
        <v>32</v>
      </c>
    </row>
    <row r="116" spans="1:67" s="54" customFormat="1" ht="120">
      <c r="A116" s="55" t="s">
        <v>247</v>
      </c>
      <c r="B116" s="56" t="s">
        <v>42</v>
      </c>
      <c r="C116" s="36" t="s">
        <v>372</v>
      </c>
      <c r="D116" s="37" t="s">
        <v>375</v>
      </c>
      <c r="E116" s="57" t="s">
        <v>29</v>
      </c>
      <c r="F116" s="57" t="s">
        <v>28</v>
      </c>
      <c r="G116" s="57" t="s">
        <v>28</v>
      </c>
      <c r="H116" s="57" t="s">
        <v>28</v>
      </c>
      <c r="I116" s="57" t="s">
        <v>28</v>
      </c>
      <c r="J116" s="57" t="s">
        <v>28</v>
      </c>
      <c r="K116" s="58"/>
      <c r="L116" s="58">
        <v>18187</v>
      </c>
      <c r="M116" s="57" t="s">
        <v>30</v>
      </c>
      <c r="N116" s="58">
        <v>9886</v>
      </c>
      <c r="O116" s="59" t="s">
        <v>30</v>
      </c>
      <c r="P116" s="58">
        <f>L116/100*72</f>
        <v>13094.64</v>
      </c>
      <c r="Q116" s="58">
        <v>8210</v>
      </c>
      <c r="R116" s="57" t="s">
        <v>30</v>
      </c>
      <c r="S116" s="56" t="s">
        <v>248</v>
      </c>
      <c r="T116" s="57" t="s">
        <v>28</v>
      </c>
      <c r="U116" s="58"/>
      <c r="V116" s="57" t="s">
        <v>29</v>
      </c>
      <c r="W116" s="58">
        <v>2775</v>
      </c>
      <c r="X116" s="58">
        <v>27</v>
      </c>
      <c r="Y116" s="58">
        <v>978</v>
      </c>
      <c r="Z116" s="59" t="s">
        <v>30</v>
      </c>
      <c r="AA116" s="58">
        <v>24</v>
      </c>
      <c r="AB116" s="58">
        <v>764</v>
      </c>
      <c r="AC116" s="58">
        <v>17</v>
      </c>
      <c r="AD116" s="59" t="s">
        <v>30</v>
      </c>
      <c r="AE116" s="58">
        <v>223</v>
      </c>
      <c r="AF116" s="58">
        <v>3243</v>
      </c>
      <c r="AG116" s="59" t="s">
        <v>30</v>
      </c>
      <c r="AH116" s="58">
        <v>3</v>
      </c>
      <c r="AI116" s="58">
        <v>100</v>
      </c>
      <c r="AJ116" s="59" t="s">
        <v>31</v>
      </c>
      <c r="AK116" s="56" t="s">
        <v>28</v>
      </c>
      <c r="AL116" s="60"/>
      <c r="AM116" s="60"/>
      <c r="AN116" s="57" t="s">
        <v>29</v>
      </c>
      <c r="AO116" s="57" t="s">
        <v>29</v>
      </c>
      <c r="AP116" s="57"/>
      <c r="AQ116" s="56" t="s">
        <v>29</v>
      </c>
      <c r="AR116" s="56" t="s">
        <v>29</v>
      </c>
      <c r="AS116" s="56" t="s">
        <v>28</v>
      </c>
      <c r="AT116" s="56" t="s">
        <v>28</v>
      </c>
      <c r="AU116" s="56" t="s">
        <v>29</v>
      </c>
      <c r="AV116" s="56" t="s">
        <v>28</v>
      </c>
      <c r="AW116" s="56" t="s">
        <v>28</v>
      </c>
      <c r="AX116" s="56" t="s">
        <v>28</v>
      </c>
      <c r="AY116" s="56" t="s">
        <v>28</v>
      </c>
      <c r="AZ116" s="58">
        <v>35</v>
      </c>
      <c r="BA116" s="59" t="s">
        <v>31</v>
      </c>
      <c r="BB116" s="81">
        <v>1932</v>
      </c>
      <c r="BC116" s="59" t="s">
        <v>31</v>
      </c>
      <c r="BD116" s="38">
        <f t="shared" si="20"/>
        <v>13800</v>
      </c>
      <c r="BE116" s="46">
        <v>5.01</v>
      </c>
      <c r="BF116" s="59" t="s">
        <v>30</v>
      </c>
      <c r="BG116" s="57" t="s">
        <v>29</v>
      </c>
      <c r="BH116" s="45">
        <f>P116/100*44*11.29</f>
        <v>65048.933663999982</v>
      </c>
      <c r="BI116" s="45">
        <f>P116/100*44*22.59</f>
        <v>130155.48374399998</v>
      </c>
      <c r="BJ116" s="45">
        <v>289444.5075375</v>
      </c>
      <c r="BK116" s="86">
        <f t="shared" si="17"/>
        <v>484648.92494549998</v>
      </c>
      <c r="BL116" s="46">
        <f t="shared" si="19"/>
        <v>2.6715825</v>
      </c>
      <c r="BM116" s="90">
        <f t="shared" si="18"/>
        <v>7.6815824999999993</v>
      </c>
      <c r="BN116" s="61" t="s">
        <v>457</v>
      </c>
      <c r="BO116" s="61" t="s">
        <v>249</v>
      </c>
    </row>
    <row r="117" spans="1:67" s="54" customFormat="1" ht="60">
      <c r="A117" s="55" t="s">
        <v>364</v>
      </c>
      <c r="B117" s="56" t="s">
        <v>27</v>
      </c>
      <c r="C117" s="36" t="s">
        <v>374</v>
      </c>
      <c r="D117" s="37" t="s">
        <v>376</v>
      </c>
      <c r="E117" s="57" t="s">
        <v>29</v>
      </c>
      <c r="F117" s="57" t="s">
        <v>28</v>
      </c>
      <c r="G117" s="57" t="s">
        <v>28</v>
      </c>
      <c r="H117" s="57" t="s">
        <v>28</v>
      </c>
      <c r="I117" s="57" t="s">
        <v>28</v>
      </c>
      <c r="J117" s="57" t="s">
        <v>28</v>
      </c>
      <c r="K117" s="58">
        <v>2409</v>
      </c>
      <c r="L117" s="58">
        <v>183306</v>
      </c>
      <c r="M117" s="57" t="s">
        <v>30</v>
      </c>
      <c r="N117" s="58">
        <v>108177</v>
      </c>
      <c r="O117" s="59" t="s">
        <v>30</v>
      </c>
      <c r="P117" s="58">
        <f>L117/100*69</f>
        <v>126481.14</v>
      </c>
      <c r="Q117" s="58">
        <v>75129</v>
      </c>
      <c r="R117" s="57" t="s">
        <v>30</v>
      </c>
      <c r="S117" s="56" t="s">
        <v>28</v>
      </c>
      <c r="T117" s="57" t="s">
        <v>29</v>
      </c>
      <c r="U117" s="58"/>
      <c r="V117" s="57" t="s">
        <v>29</v>
      </c>
      <c r="W117" s="58"/>
      <c r="X117" s="58"/>
      <c r="Y117" s="58"/>
      <c r="Z117" s="59"/>
      <c r="AA117" s="58"/>
      <c r="AB117" s="58"/>
      <c r="AC117" s="58"/>
      <c r="AD117" s="59"/>
      <c r="AE117" s="58"/>
      <c r="AF117" s="58"/>
      <c r="AG117" s="59"/>
      <c r="AH117" s="58"/>
      <c r="AI117" s="58"/>
      <c r="AJ117" s="59"/>
      <c r="AK117" s="56" t="s">
        <v>44</v>
      </c>
      <c r="AL117" s="60"/>
      <c r="AM117" s="60"/>
      <c r="AN117" s="57" t="s">
        <v>29</v>
      </c>
      <c r="AO117" s="57" t="s">
        <v>29</v>
      </c>
      <c r="AP117" s="57"/>
      <c r="AQ117" s="56" t="s">
        <v>28</v>
      </c>
      <c r="AR117" s="56" t="s">
        <v>28</v>
      </c>
      <c r="AS117" s="56" t="s">
        <v>28</v>
      </c>
      <c r="AT117" s="56" t="s">
        <v>28</v>
      </c>
      <c r="AU117" s="56" t="s">
        <v>28</v>
      </c>
      <c r="AV117" s="56" t="s">
        <v>28</v>
      </c>
      <c r="AW117" s="56" t="s">
        <v>28</v>
      </c>
      <c r="AX117" s="56" t="s">
        <v>28</v>
      </c>
      <c r="AY117" s="56" t="s">
        <v>28</v>
      </c>
      <c r="AZ117" s="58">
        <v>12</v>
      </c>
      <c r="BA117" s="59" t="s">
        <v>30</v>
      </c>
      <c r="BB117" s="81">
        <v>647.25</v>
      </c>
      <c r="BC117" s="59" t="s">
        <v>30</v>
      </c>
      <c r="BD117" s="38">
        <f t="shared" si="20"/>
        <v>4623.2142857142853</v>
      </c>
      <c r="BE117" s="46">
        <v>17.940000000000001</v>
      </c>
      <c r="BF117" s="59" t="s">
        <v>30</v>
      </c>
      <c r="BG117" s="57" t="s">
        <v>29</v>
      </c>
      <c r="BH117" s="45">
        <f>P117/100*31*8.9</f>
        <v>348961.46526000003</v>
      </c>
      <c r="BI117" s="45">
        <f>P117/100*31*17.79</f>
        <v>697530.83898600005</v>
      </c>
      <c r="BJ117" s="45">
        <v>131296.203125</v>
      </c>
      <c r="BK117" s="86">
        <f t="shared" si="17"/>
        <v>1177788.507371</v>
      </c>
      <c r="BL117" s="46">
        <f>BE117*(1-0.25)*(1-0.25)*(1-0.375)*1.2</f>
        <v>7.5684375000000017</v>
      </c>
      <c r="BM117" s="90">
        <f t="shared" si="18"/>
        <v>25.508437500000003</v>
      </c>
      <c r="BN117" s="61" t="s">
        <v>32</v>
      </c>
      <c r="BO117" s="61" t="s">
        <v>32</v>
      </c>
    </row>
    <row r="118" spans="1:67" s="54" customFormat="1" ht="45">
      <c r="A118" s="55" t="s">
        <v>352</v>
      </c>
      <c r="B118" s="56" t="s">
        <v>42</v>
      </c>
      <c r="C118" s="36" t="s">
        <v>369</v>
      </c>
      <c r="D118" s="37" t="s">
        <v>375</v>
      </c>
      <c r="E118" s="57" t="s">
        <v>28</v>
      </c>
      <c r="F118" s="57" t="s">
        <v>29</v>
      </c>
      <c r="G118" s="57" t="s">
        <v>28</v>
      </c>
      <c r="H118" s="57" t="s">
        <v>28</v>
      </c>
      <c r="I118" s="57" t="s">
        <v>28</v>
      </c>
      <c r="J118" s="57" t="s">
        <v>28</v>
      </c>
      <c r="K118" s="58">
        <v>622</v>
      </c>
      <c r="L118" s="58">
        <v>11323</v>
      </c>
      <c r="M118" s="57" t="s">
        <v>30</v>
      </c>
      <c r="N118" s="58">
        <v>5711</v>
      </c>
      <c r="O118" s="59" t="s">
        <v>31</v>
      </c>
      <c r="P118" s="58">
        <f>L118/100*72</f>
        <v>8152.56</v>
      </c>
      <c r="Q118" s="58">
        <v>3812</v>
      </c>
      <c r="R118" s="57" t="s">
        <v>31</v>
      </c>
      <c r="S118" s="56" t="s">
        <v>347</v>
      </c>
      <c r="T118" s="57" t="s">
        <v>29</v>
      </c>
      <c r="U118" s="58">
        <v>5547</v>
      </c>
      <c r="V118" s="57" t="s">
        <v>29</v>
      </c>
      <c r="W118" s="58">
        <v>5806</v>
      </c>
      <c r="X118" s="58">
        <v>49</v>
      </c>
      <c r="Y118" s="58">
        <v>1199</v>
      </c>
      <c r="Z118" s="59" t="s">
        <v>30</v>
      </c>
      <c r="AA118" s="58">
        <v>1</v>
      </c>
      <c r="AB118" s="58">
        <v>225</v>
      </c>
      <c r="AC118" s="58"/>
      <c r="AD118" s="59" t="s">
        <v>30</v>
      </c>
      <c r="AE118" s="58">
        <v>55</v>
      </c>
      <c r="AF118" s="58">
        <v>1907</v>
      </c>
      <c r="AG118" s="59" t="s">
        <v>30</v>
      </c>
      <c r="AH118" s="58">
        <v>1</v>
      </c>
      <c r="AI118" s="58">
        <v>86</v>
      </c>
      <c r="AJ118" s="59" t="s">
        <v>30</v>
      </c>
      <c r="AK118" s="56" t="s">
        <v>29</v>
      </c>
      <c r="AL118" s="60">
        <v>5.2</v>
      </c>
      <c r="AM118" s="60">
        <v>4.4000000000000004</v>
      </c>
      <c r="AN118" s="57" t="s">
        <v>29</v>
      </c>
      <c r="AO118" s="57" t="s">
        <v>28</v>
      </c>
      <c r="AP118" s="57" t="s">
        <v>28</v>
      </c>
      <c r="AQ118" s="56" t="s">
        <v>28</v>
      </c>
      <c r="AR118" s="56" t="s">
        <v>28</v>
      </c>
      <c r="AS118" s="56" t="s">
        <v>28</v>
      </c>
      <c r="AT118" s="56" t="s">
        <v>28</v>
      </c>
      <c r="AU118" s="56" t="s">
        <v>28</v>
      </c>
      <c r="AV118" s="56" t="s">
        <v>28</v>
      </c>
      <c r="AW118" s="56" t="s">
        <v>28</v>
      </c>
      <c r="AX118" s="56" t="s">
        <v>28</v>
      </c>
      <c r="AY118" s="56" t="s">
        <v>28</v>
      </c>
      <c r="AZ118" s="58">
        <v>65</v>
      </c>
      <c r="BA118" s="59" t="s">
        <v>30</v>
      </c>
      <c r="BB118" s="81">
        <v>3188</v>
      </c>
      <c r="BC118" s="59" t="s">
        <v>30</v>
      </c>
      <c r="BD118" s="38">
        <f t="shared" si="20"/>
        <v>22771.428571428572</v>
      </c>
      <c r="BE118" s="46">
        <v>1.2</v>
      </c>
      <c r="BF118" s="59" t="s">
        <v>30</v>
      </c>
      <c r="BG118" s="57" t="s">
        <v>29</v>
      </c>
      <c r="BH118" s="45">
        <f>P118/100*44*14.08</f>
        <v>50506.739712000002</v>
      </c>
      <c r="BI118" s="45">
        <f>P118/100*44*28.16</f>
        <v>101013.479424</v>
      </c>
      <c r="BJ118" s="45">
        <v>45667.754999999997</v>
      </c>
      <c r="BK118" s="86">
        <f t="shared" si="17"/>
        <v>197187.974136</v>
      </c>
      <c r="BL118" s="46">
        <f t="shared" ref="BL118:BL123" si="21">BE118*(1-0.25)*(1-0.21)*(1-0.25)*1.2</f>
        <v>0.63990000000000002</v>
      </c>
      <c r="BM118" s="90">
        <f t="shared" si="18"/>
        <v>1.8399000000000001</v>
      </c>
      <c r="BN118" s="61" t="s">
        <v>32</v>
      </c>
      <c r="BO118" s="61" t="s">
        <v>32</v>
      </c>
    </row>
    <row r="119" spans="1:67" s="54" customFormat="1" ht="90">
      <c r="A119" s="55" t="s">
        <v>407</v>
      </c>
      <c r="B119" s="56" t="s">
        <v>27</v>
      </c>
      <c r="C119" s="36" t="s">
        <v>369</v>
      </c>
      <c r="D119" s="37" t="s">
        <v>377</v>
      </c>
      <c r="E119" s="57" t="s">
        <v>28</v>
      </c>
      <c r="F119" s="57" t="s">
        <v>29</v>
      </c>
      <c r="G119" s="57" t="s">
        <v>28</v>
      </c>
      <c r="H119" s="57" t="s">
        <v>28</v>
      </c>
      <c r="I119" s="57" t="s">
        <v>28</v>
      </c>
      <c r="J119" s="57" t="s">
        <v>28</v>
      </c>
      <c r="K119" s="58">
        <v>1518</v>
      </c>
      <c r="L119" s="58">
        <v>2340</v>
      </c>
      <c r="M119" s="57" t="s">
        <v>30</v>
      </c>
      <c r="N119" s="58">
        <v>1872</v>
      </c>
      <c r="O119" s="59" t="s">
        <v>31</v>
      </c>
      <c r="P119" s="58">
        <f>L119/100*75</f>
        <v>1755</v>
      </c>
      <c r="Q119" s="58">
        <v>468</v>
      </c>
      <c r="R119" s="57" t="s">
        <v>31</v>
      </c>
      <c r="S119" s="56" t="s">
        <v>45</v>
      </c>
      <c r="T119" s="57" t="s">
        <v>28</v>
      </c>
      <c r="U119" s="58">
        <v>1488</v>
      </c>
      <c r="V119" s="57" t="s">
        <v>32</v>
      </c>
      <c r="W119" s="58">
        <v>85</v>
      </c>
      <c r="X119" s="58">
        <v>12</v>
      </c>
      <c r="Y119" s="58">
        <v>183</v>
      </c>
      <c r="Z119" s="59" t="s">
        <v>30</v>
      </c>
      <c r="AA119" s="58">
        <v>6</v>
      </c>
      <c r="AB119" s="58">
        <v>222</v>
      </c>
      <c r="AC119" s="58">
        <v>12</v>
      </c>
      <c r="AD119" s="59" t="s">
        <v>30</v>
      </c>
      <c r="AE119" s="58">
        <v>1</v>
      </c>
      <c r="AF119" s="58">
        <v>20</v>
      </c>
      <c r="AG119" s="59" t="s">
        <v>30</v>
      </c>
      <c r="AH119" s="58">
        <v>2</v>
      </c>
      <c r="AI119" s="58">
        <v>55</v>
      </c>
      <c r="AJ119" s="59" t="s">
        <v>30</v>
      </c>
      <c r="AK119" s="56" t="s">
        <v>29</v>
      </c>
      <c r="AL119" s="60">
        <v>3</v>
      </c>
      <c r="AM119" s="60">
        <v>1</v>
      </c>
      <c r="AN119" s="57" t="s">
        <v>28</v>
      </c>
      <c r="AO119" s="57" t="s">
        <v>28</v>
      </c>
      <c r="AP119" s="57" t="s">
        <v>28</v>
      </c>
      <c r="AQ119" s="56" t="s">
        <v>29</v>
      </c>
      <c r="AR119" s="56" t="s">
        <v>28</v>
      </c>
      <c r="AS119" s="56" t="s">
        <v>28</v>
      </c>
      <c r="AT119" s="56" t="s">
        <v>29</v>
      </c>
      <c r="AU119" s="56" t="s">
        <v>28</v>
      </c>
      <c r="AV119" s="56" t="s">
        <v>28</v>
      </c>
      <c r="AW119" s="56" t="s">
        <v>28</v>
      </c>
      <c r="AX119" s="56" t="s">
        <v>46</v>
      </c>
      <c r="AY119" s="56" t="s">
        <v>28</v>
      </c>
      <c r="AZ119" s="58">
        <v>43</v>
      </c>
      <c r="BA119" s="59" t="s">
        <v>30</v>
      </c>
      <c r="BB119" s="81">
        <v>5000</v>
      </c>
      <c r="BC119" s="59" t="s">
        <v>31</v>
      </c>
      <c r="BD119" s="38">
        <f t="shared" si="20"/>
        <v>35714.285714285717</v>
      </c>
      <c r="BE119" s="46">
        <v>0</v>
      </c>
      <c r="BF119" s="59" t="s">
        <v>30</v>
      </c>
      <c r="BG119" s="57" t="s">
        <v>28</v>
      </c>
      <c r="BH119" s="45">
        <f>P119/100*47*14.08</f>
        <v>11613.888000000001</v>
      </c>
      <c r="BI119" s="45">
        <f>P119/100*47*28.16</f>
        <v>23227.776000000002</v>
      </c>
      <c r="BJ119" s="45">
        <v>11954.08375</v>
      </c>
      <c r="BK119" s="86">
        <f t="shared" si="17"/>
        <v>46795.747750000002</v>
      </c>
      <c r="BL119" s="46">
        <f t="shared" si="21"/>
        <v>0</v>
      </c>
      <c r="BM119" s="90">
        <f t="shared" si="18"/>
        <v>0</v>
      </c>
      <c r="BN119" s="61" t="s">
        <v>47</v>
      </c>
      <c r="BO119" s="61" t="s">
        <v>48</v>
      </c>
    </row>
    <row r="120" spans="1:67" s="54" customFormat="1" ht="45">
      <c r="A120" s="55" t="s">
        <v>108</v>
      </c>
      <c r="B120" s="56" t="s">
        <v>27</v>
      </c>
      <c r="C120" s="36" t="s">
        <v>370</v>
      </c>
      <c r="D120" s="37" t="s">
        <v>377</v>
      </c>
      <c r="E120" s="57" t="s">
        <v>28</v>
      </c>
      <c r="F120" s="57" t="s">
        <v>29</v>
      </c>
      <c r="G120" s="57" t="s">
        <v>28</v>
      </c>
      <c r="H120" s="57" t="s">
        <v>28</v>
      </c>
      <c r="I120" s="57" t="s">
        <v>28</v>
      </c>
      <c r="J120" s="57" t="s">
        <v>28</v>
      </c>
      <c r="K120" s="58">
        <v>86</v>
      </c>
      <c r="L120" s="58">
        <v>692</v>
      </c>
      <c r="M120" s="57" t="s">
        <v>30</v>
      </c>
      <c r="N120" s="58">
        <v>625</v>
      </c>
      <c r="O120" s="59" t="s">
        <v>31</v>
      </c>
      <c r="P120" s="58">
        <f>L120/100*75</f>
        <v>519</v>
      </c>
      <c r="Q120" s="58">
        <v>67</v>
      </c>
      <c r="R120" s="57" t="s">
        <v>31</v>
      </c>
      <c r="S120" s="56" t="s">
        <v>109</v>
      </c>
      <c r="T120" s="57" t="s">
        <v>29</v>
      </c>
      <c r="U120" s="58"/>
      <c r="V120" s="57" t="s">
        <v>29</v>
      </c>
      <c r="W120" s="58">
        <v>132</v>
      </c>
      <c r="X120" s="58">
        <v>1</v>
      </c>
      <c r="Y120" s="58">
        <v>16</v>
      </c>
      <c r="Z120" s="59" t="s">
        <v>30</v>
      </c>
      <c r="AA120" s="58">
        <v>3</v>
      </c>
      <c r="AB120" s="58">
        <v>75</v>
      </c>
      <c r="AC120" s="58">
        <v>3</v>
      </c>
      <c r="AD120" s="59" t="s">
        <v>30</v>
      </c>
      <c r="AE120" s="58">
        <v>1</v>
      </c>
      <c r="AF120" s="58">
        <v>21</v>
      </c>
      <c r="AG120" s="59" t="s">
        <v>30</v>
      </c>
      <c r="AH120" s="58">
        <v>3</v>
      </c>
      <c r="AI120" s="58">
        <v>92</v>
      </c>
      <c r="AJ120" s="59" t="s">
        <v>30</v>
      </c>
      <c r="AK120" s="56" t="s">
        <v>28</v>
      </c>
      <c r="AL120" s="60"/>
      <c r="AM120" s="60"/>
      <c r="AN120" s="57" t="s">
        <v>29</v>
      </c>
      <c r="AO120" s="57" t="s">
        <v>28</v>
      </c>
      <c r="AP120" s="57" t="s">
        <v>28</v>
      </c>
      <c r="AQ120" s="56" t="s">
        <v>28</v>
      </c>
      <c r="AR120" s="56" t="s">
        <v>29</v>
      </c>
      <c r="AS120" s="56" t="s">
        <v>28</v>
      </c>
      <c r="AT120" s="56" t="s">
        <v>29</v>
      </c>
      <c r="AU120" s="56" t="s">
        <v>28</v>
      </c>
      <c r="AV120" s="56" t="s">
        <v>28</v>
      </c>
      <c r="AW120" s="56" t="s">
        <v>29</v>
      </c>
      <c r="AX120" s="56" t="s">
        <v>28</v>
      </c>
      <c r="AY120" s="56" t="s">
        <v>28</v>
      </c>
      <c r="AZ120" s="58">
        <v>35</v>
      </c>
      <c r="BA120" s="59" t="s">
        <v>30</v>
      </c>
      <c r="BB120" s="81">
        <v>600</v>
      </c>
      <c r="BC120" s="59" t="s">
        <v>31</v>
      </c>
      <c r="BD120" s="38">
        <f t="shared" si="20"/>
        <v>4285.7142857142853</v>
      </c>
      <c r="BE120" s="46">
        <v>0</v>
      </c>
      <c r="BF120" s="59" t="s">
        <v>30</v>
      </c>
      <c r="BG120" s="57" t="s">
        <v>28</v>
      </c>
      <c r="BH120" s="45">
        <f>P120/100*47*17.99</f>
        <v>4388.3006999999998</v>
      </c>
      <c r="BI120" s="45">
        <f>P120/100*47*35.98</f>
        <v>8776.6013999999996</v>
      </c>
      <c r="BJ120" s="45">
        <v>25895.0825</v>
      </c>
      <c r="BK120" s="86">
        <f t="shared" si="17"/>
        <v>39059.984599999996</v>
      </c>
      <c r="BL120" s="46">
        <f t="shared" si="21"/>
        <v>0</v>
      </c>
      <c r="BM120" s="90">
        <f t="shared" si="18"/>
        <v>0</v>
      </c>
      <c r="BN120" s="61" t="s">
        <v>110</v>
      </c>
      <c r="BO120" s="61" t="s">
        <v>111</v>
      </c>
    </row>
    <row r="121" spans="1:67" s="54" customFormat="1" ht="45">
      <c r="A121" s="55" t="s">
        <v>405</v>
      </c>
      <c r="B121" s="56" t="s">
        <v>42</v>
      </c>
      <c r="C121" s="36" t="s">
        <v>369</v>
      </c>
      <c r="D121" s="37" t="s">
        <v>375</v>
      </c>
      <c r="E121" s="57" t="s">
        <v>29</v>
      </c>
      <c r="F121" s="57" t="s">
        <v>28</v>
      </c>
      <c r="G121" s="57" t="s">
        <v>28</v>
      </c>
      <c r="H121" s="57" t="s">
        <v>28</v>
      </c>
      <c r="I121" s="57" t="s">
        <v>28</v>
      </c>
      <c r="J121" s="57" t="s">
        <v>28</v>
      </c>
      <c r="K121" s="58">
        <v>2277</v>
      </c>
      <c r="L121" s="58">
        <v>45342</v>
      </c>
      <c r="M121" s="57" t="s">
        <v>30</v>
      </c>
      <c r="N121" s="58">
        <v>38853</v>
      </c>
      <c r="O121" s="59" t="s">
        <v>31</v>
      </c>
      <c r="P121" s="58">
        <f>L121/100*72</f>
        <v>32646.240000000002</v>
      </c>
      <c r="Q121" s="58">
        <v>6489</v>
      </c>
      <c r="R121" s="57" t="s">
        <v>31</v>
      </c>
      <c r="S121" s="56" t="s">
        <v>347</v>
      </c>
      <c r="T121" s="57" t="s">
        <v>29</v>
      </c>
      <c r="U121" s="58">
        <v>22213</v>
      </c>
      <c r="V121" s="57" t="s">
        <v>29</v>
      </c>
      <c r="W121" s="58">
        <v>7816</v>
      </c>
      <c r="X121" s="58">
        <v>200</v>
      </c>
      <c r="Y121" s="58">
        <v>4802</v>
      </c>
      <c r="Z121" s="59" t="s">
        <v>30</v>
      </c>
      <c r="AA121" s="58">
        <v>20</v>
      </c>
      <c r="AB121" s="58">
        <v>747</v>
      </c>
      <c r="AC121" s="58"/>
      <c r="AD121" s="59" t="s">
        <v>30</v>
      </c>
      <c r="AE121" s="58">
        <v>222</v>
      </c>
      <c r="AF121" s="58">
        <v>7639</v>
      </c>
      <c r="AG121" s="59" t="s">
        <v>30</v>
      </c>
      <c r="AH121" s="58">
        <v>1</v>
      </c>
      <c r="AI121" s="58">
        <v>345</v>
      </c>
      <c r="AJ121" s="59" t="s">
        <v>30</v>
      </c>
      <c r="AK121" s="56" t="s">
        <v>29</v>
      </c>
      <c r="AL121" s="60">
        <v>5.7</v>
      </c>
      <c r="AM121" s="60">
        <v>4.55</v>
      </c>
      <c r="AN121" s="57" t="s">
        <v>29</v>
      </c>
      <c r="AO121" s="57" t="s">
        <v>28</v>
      </c>
      <c r="AP121" s="57" t="s">
        <v>29</v>
      </c>
      <c r="AQ121" s="56" t="s">
        <v>28</v>
      </c>
      <c r="AR121" s="56" t="s">
        <v>29</v>
      </c>
      <c r="AS121" s="56" t="s">
        <v>29</v>
      </c>
      <c r="AT121" s="56" t="s">
        <v>28</v>
      </c>
      <c r="AU121" s="56" t="s">
        <v>29</v>
      </c>
      <c r="AV121" s="56" t="s">
        <v>28</v>
      </c>
      <c r="AW121" s="56" t="s">
        <v>28</v>
      </c>
      <c r="AX121" s="56" t="s">
        <v>28</v>
      </c>
      <c r="AY121" s="56" t="s">
        <v>28</v>
      </c>
      <c r="AZ121" s="58">
        <v>9</v>
      </c>
      <c r="BA121" s="59" t="s">
        <v>30</v>
      </c>
      <c r="BB121" s="81">
        <v>538</v>
      </c>
      <c r="BC121" s="59" t="s">
        <v>30</v>
      </c>
      <c r="BD121" s="38">
        <f t="shared" si="20"/>
        <v>3842.8571428571431</v>
      </c>
      <c r="BE121" s="46">
        <v>7.26</v>
      </c>
      <c r="BF121" s="59" t="s">
        <v>30</v>
      </c>
      <c r="BG121" s="57" t="s">
        <v>29</v>
      </c>
      <c r="BH121" s="45">
        <f>P121/100*44*14.08</f>
        <v>202249.98604800002</v>
      </c>
      <c r="BI121" s="45">
        <f>P121/100*44*28.16</f>
        <v>404499.97209600004</v>
      </c>
      <c r="BJ121" s="45">
        <v>125213.45375</v>
      </c>
      <c r="BK121" s="86">
        <f t="shared" si="17"/>
        <v>731963.41189400002</v>
      </c>
      <c r="BL121" s="46">
        <f t="shared" si="21"/>
        <v>3.8713950000000006</v>
      </c>
      <c r="BM121" s="90">
        <f t="shared" si="18"/>
        <v>11.131395000000001</v>
      </c>
      <c r="BN121" s="61" t="s">
        <v>32</v>
      </c>
      <c r="BO121" s="61" t="s">
        <v>32</v>
      </c>
    </row>
    <row r="122" spans="1:67" s="54" customFormat="1" ht="45">
      <c r="A122" s="55" t="s">
        <v>408</v>
      </c>
      <c r="B122" s="56" t="s">
        <v>42</v>
      </c>
      <c r="C122" s="36" t="s">
        <v>369</v>
      </c>
      <c r="D122" s="37" t="s">
        <v>377</v>
      </c>
      <c r="E122" s="57" t="s">
        <v>28</v>
      </c>
      <c r="F122" s="57" t="s">
        <v>29</v>
      </c>
      <c r="G122" s="57" t="s">
        <v>28</v>
      </c>
      <c r="H122" s="57" t="s">
        <v>28</v>
      </c>
      <c r="I122" s="57" t="s">
        <v>28</v>
      </c>
      <c r="J122" s="57" t="s">
        <v>28</v>
      </c>
      <c r="K122" s="58">
        <v>462</v>
      </c>
      <c r="L122" s="58">
        <v>4161</v>
      </c>
      <c r="M122" s="57" t="s">
        <v>30</v>
      </c>
      <c r="N122" s="58">
        <v>2832</v>
      </c>
      <c r="O122" s="59" t="s">
        <v>31</v>
      </c>
      <c r="P122" s="58">
        <f>L122/100*75</f>
        <v>3120.75</v>
      </c>
      <c r="Q122" s="58">
        <v>1329</v>
      </c>
      <c r="R122" s="57" t="s">
        <v>31</v>
      </c>
      <c r="S122" s="56" t="s">
        <v>347</v>
      </c>
      <c r="T122" s="57" t="s">
        <v>29</v>
      </c>
      <c r="U122" s="58">
        <v>2038</v>
      </c>
      <c r="V122" s="57" t="s">
        <v>29</v>
      </c>
      <c r="W122" s="58">
        <v>1770</v>
      </c>
      <c r="X122" s="58">
        <v>18</v>
      </c>
      <c r="Y122" s="58">
        <v>440</v>
      </c>
      <c r="Z122" s="59" t="s">
        <v>31</v>
      </c>
      <c r="AA122" s="58">
        <v>0</v>
      </c>
      <c r="AB122" s="58">
        <v>0</v>
      </c>
      <c r="AC122" s="58"/>
      <c r="AD122" s="59" t="s">
        <v>30</v>
      </c>
      <c r="AE122" s="58">
        <v>20</v>
      </c>
      <c r="AF122" s="58">
        <v>701</v>
      </c>
      <c r="AG122" s="59" t="s">
        <v>31</v>
      </c>
      <c r="AH122" s="58">
        <v>1</v>
      </c>
      <c r="AI122" s="58">
        <v>31</v>
      </c>
      <c r="AJ122" s="59" t="s">
        <v>31</v>
      </c>
      <c r="AK122" s="56" t="s">
        <v>29</v>
      </c>
      <c r="AL122" s="60">
        <v>3.8</v>
      </c>
      <c r="AM122" s="60">
        <v>3.05</v>
      </c>
      <c r="AN122" s="57" t="s">
        <v>29</v>
      </c>
      <c r="AO122" s="57" t="s">
        <v>28</v>
      </c>
      <c r="AP122" s="57" t="s">
        <v>28</v>
      </c>
      <c r="AQ122" s="56" t="s">
        <v>29</v>
      </c>
      <c r="AR122" s="56" t="s">
        <v>28</v>
      </c>
      <c r="AS122" s="56" t="s">
        <v>28</v>
      </c>
      <c r="AT122" s="56" t="s">
        <v>28</v>
      </c>
      <c r="AU122" s="56" t="s">
        <v>29</v>
      </c>
      <c r="AV122" s="56" t="s">
        <v>28</v>
      </c>
      <c r="AW122" s="56" t="s">
        <v>28</v>
      </c>
      <c r="AX122" s="56" t="s">
        <v>28</v>
      </c>
      <c r="AY122" s="56" t="s">
        <v>28</v>
      </c>
      <c r="AZ122" s="58">
        <v>0</v>
      </c>
      <c r="BA122" s="59" t="s">
        <v>30</v>
      </c>
      <c r="BB122" s="81">
        <v>0</v>
      </c>
      <c r="BC122" s="59" t="s">
        <v>30</v>
      </c>
      <c r="BD122" s="38">
        <f t="shared" si="20"/>
        <v>0</v>
      </c>
      <c r="BE122" s="46">
        <v>0.72</v>
      </c>
      <c r="BF122" s="59" t="s">
        <v>30</v>
      </c>
      <c r="BG122" s="57" t="s">
        <v>29</v>
      </c>
      <c r="BH122" s="45">
        <f>P122/100*47*14.08</f>
        <v>20651.875200000002</v>
      </c>
      <c r="BI122" s="45">
        <f>P122/100*47*28.16</f>
        <v>41303.750400000004</v>
      </c>
      <c r="BJ122" s="45">
        <v>14821.029999999999</v>
      </c>
      <c r="BK122" s="86">
        <f t="shared" si="17"/>
        <v>76776.655599999998</v>
      </c>
      <c r="BL122" s="46">
        <f t="shared" si="21"/>
        <v>0.38394</v>
      </c>
      <c r="BM122" s="90">
        <f t="shared" si="18"/>
        <v>1.1039399999999999</v>
      </c>
      <c r="BN122" s="61" t="s">
        <v>32</v>
      </c>
      <c r="BO122" s="61" t="s">
        <v>32</v>
      </c>
    </row>
    <row r="123" spans="1:67" s="54" customFormat="1" ht="75">
      <c r="A123" s="55" t="s">
        <v>296</v>
      </c>
      <c r="B123" s="56" t="s">
        <v>36</v>
      </c>
      <c r="C123" s="36" t="s">
        <v>370</v>
      </c>
      <c r="D123" s="37" t="s">
        <v>377</v>
      </c>
      <c r="E123" s="57" t="s">
        <v>28</v>
      </c>
      <c r="F123" s="57" t="s">
        <v>28</v>
      </c>
      <c r="G123" s="57" t="s">
        <v>28</v>
      </c>
      <c r="H123" s="57" t="s">
        <v>28</v>
      </c>
      <c r="I123" s="57" t="s">
        <v>28</v>
      </c>
      <c r="J123" s="57" t="s">
        <v>29</v>
      </c>
      <c r="K123" s="58">
        <v>26</v>
      </c>
      <c r="L123" s="58">
        <v>2457</v>
      </c>
      <c r="M123" s="57" t="s">
        <v>30</v>
      </c>
      <c r="N123" s="58">
        <v>1800</v>
      </c>
      <c r="O123" s="59" t="s">
        <v>30</v>
      </c>
      <c r="P123" s="58">
        <f>L123/100*75</f>
        <v>1842.75</v>
      </c>
      <c r="Q123" s="58">
        <v>657</v>
      </c>
      <c r="R123" s="57" t="s">
        <v>30</v>
      </c>
      <c r="S123" s="56" t="s">
        <v>297</v>
      </c>
      <c r="T123" s="57" t="s">
        <v>29</v>
      </c>
      <c r="U123" s="58"/>
      <c r="V123" s="57" t="s">
        <v>29</v>
      </c>
      <c r="W123" s="58">
        <v>14348</v>
      </c>
      <c r="X123" s="58">
        <v>1</v>
      </c>
      <c r="Y123" s="58">
        <v>12</v>
      </c>
      <c r="Z123" s="59" t="s">
        <v>30</v>
      </c>
      <c r="AA123" s="58">
        <v>12</v>
      </c>
      <c r="AB123" s="58">
        <v>576</v>
      </c>
      <c r="AC123" s="58">
        <v>19</v>
      </c>
      <c r="AD123" s="59" t="s">
        <v>30</v>
      </c>
      <c r="AE123" s="58">
        <v>18</v>
      </c>
      <c r="AF123" s="58">
        <v>2691</v>
      </c>
      <c r="AG123" s="59" t="s">
        <v>30</v>
      </c>
      <c r="AH123" s="58">
        <v>31</v>
      </c>
      <c r="AI123" s="58">
        <v>3164</v>
      </c>
      <c r="AJ123" s="59" t="s">
        <v>30</v>
      </c>
      <c r="AK123" s="56" t="s">
        <v>28</v>
      </c>
      <c r="AL123" s="60"/>
      <c r="AM123" s="60"/>
      <c r="AN123" s="57" t="s">
        <v>29</v>
      </c>
      <c r="AO123" s="57" t="s">
        <v>29</v>
      </c>
      <c r="AP123" s="57"/>
      <c r="AQ123" s="56" t="s">
        <v>29</v>
      </c>
      <c r="AR123" s="56" t="s">
        <v>29</v>
      </c>
      <c r="AS123" s="56" t="s">
        <v>29</v>
      </c>
      <c r="AT123" s="56" t="s">
        <v>29</v>
      </c>
      <c r="AU123" s="56" t="s">
        <v>28</v>
      </c>
      <c r="AV123" s="56" t="s">
        <v>28</v>
      </c>
      <c r="AW123" s="56" t="s">
        <v>29</v>
      </c>
      <c r="AX123" s="56" t="s">
        <v>28</v>
      </c>
      <c r="AY123" s="56" t="s">
        <v>298</v>
      </c>
      <c r="AZ123" s="58">
        <v>70</v>
      </c>
      <c r="BA123" s="59" t="s">
        <v>31</v>
      </c>
      <c r="BB123" s="81">
        <v>1176</v>
      </c>
      <c r="BC123" s="59" t="s">
        <v>31</v>
      </c>
      <c r="BD123" s="38">
        <f t="shared" si="20"/>
        <v>8400</v>
      </c>
      <c r="BE123" s="46">
        <v>14.2</v>
      </c>
      <c r="BF123" s="59" t="s">
        <v>30</v>
      </c>
      <c r="BG123" s="57" t="s">
        <v>29</v>
      </c>
      <c r="BH123" s="45">
        <f>P123/100*47*17.99</f>
        <v>15581.004074999999</v>
      </c>
      <c r="BI123" s="45">
        <f>P123/100*47*35.98</f>
        <v>31162.008149999998</v>
      </c>
      <c r="BJ123" s="45">
        <v>0</v>
      </c>
      <c r="BK123" s="86">
        <f t="shared" si="17"/>
        <v>46743.012224999999</v>
      </c>
      <c r="BL123" s="46">
        <f t="shared" si="21"/>
        <v>7.5721499999999988</v>
      </c>
      <c r="BM123" s="90">
        <f t="shared" si="18"/>
        <v>21.772149999999996</v>
      </c>
      <c r="BN123" s="61" t="s">
        <v>32</v>
      </c>
      <c r="BO123" s="61" t="s">
        <v>299</v>
      </c>
    </row>
    <row r="124" spans="1:67" s="54" customFormat="1" ht="60">
      <c r="A124" s="55" t="s">
        <v>406</v>
      </c>
      <c r="B124" s="56" t="s">
        <v>36</v>
      </c>
      <c r="C124" s="36" t="s">
        <v>370</v>
      </c>
      <c r="D124" s="37" t="s">
        <v>378</v>
      </c>
      <c r="E124" s="57" t="s">
        <v>29</v>
      </c>
      <c r="F124" s="57" t="s">
        <v>28</v>
      </c>
      <c r="G124" s="57" t="s">
        <v>28</v>
      </c>
      <c r="H124" s="57" t="s">
        <v>28</v>
      </c>
      <c r="I124" s="57" t="s">
        <v>28</v>
      </c>
      <c r="J124" s="57" t="s">
        <v>28</v>
      </c>
      <c r="K124" s="58">
        <v>1725</v>
      </c>
      <c r="L124" s="58">
        <v>60547</v>
      </c>
      <c r="M124" s="57" t="s">
        <v>30</v>
      </c>
      <c r="N124" s="58">
        <v>12392</v>
      </c>
      <c r="O124" s="59" t="s">
        <v>30</v>
      </c>
      <c r="P124" s="58">
        <f>L124/100*61</f>
        <v>36933.67</v>
      </c>
      <c r="Q124" s="58">
        <v>48155</v>
      </c>
      <c r="R124" s="57" t="s">
        <v>30</v>
      </c>
      <c r="S124" s="56" t="s">
        <v>50</v>
      </c>
      <c r="T124" s="57" t="s">
        <v>29</v>
      </c>
      <c r="U124" s="58">
        <v>43337</v>
      </c>
      <c r="V124" s="57" t="s">
        <v>29</v>
      </c>
      <c r="W124" s="58">
        <v>15196</v>
      </c>
      <c r="X124" s="58">
        <v>222</v>
      </c>
      <c r="Y124" s="58">
        <v>3760</v>
      </c>
      <c r="Z124" s="59" t="s">
        <v>30</v>
      </c>
      <c r="AA124" s="58">
        <v>2</v>
      </c>
      <c r="AB124" s="58">
        <v>97</v>
      </c>
      <c r="AC124" s="58">
        <v>51</v>
      </c>
      <c r="AD124" s="59" t="s">
        <v>30</v>
      </c>
      <c r="AE124" s="58">
        <v>77</v>
      </c>
      <c r="AF124" s="58">
        <v>3484</v>
      </c>
      <c r="AG124" s="59" t="s">
        <v>30</v>
      </c>
      <c r="AH124" s="58">
        <v>148</v>
      </c>
      <c r="AI124" s="58">
        <v>3709</v>
      </c>
      <c r="AJ124" s="59" t="s">
        <v>30</v>
      </c>
      <c r="AK124" s="56" t="s">
        <v>28</v>
      </c>
      <c r="AL124" s="60"/>
      <c r="AM124" s="60"/>
      <c r="AN124" s="57" t="s">
        <v>29</v>
      </c>
      <c r="AO124" s="57" t="s">
        <v>28</v>
      </c>
      <c r="AP124" s="57" t="s">
        <v>28</v>
      </c>
      <c r="AQ124" s="56" t="s">
        <v>29</v>
      </c>
      <c r="AR124" s="56" t="s">
        <v>29</v>
      </c>
      <c r="AS124" s="56" t="s">
        <v>29</v>
      </c>
      <c r="AT124" s="56" t="s">
        <v>29</v>
      </c>
      <c r="AU124" s="56" t="s">
        <v>28</v>
      </c>
      <c r="AV124" s="56" t="s">
        <v>28</v>
      </c>
      <c r="AW124" s="56" t="s">
        <v>29</v>
      </c>
      <c r="AX124" s="56" t="s">
        <v>28</v>
      </c>
      <c r="AY124" s="56" t="s">
        <v>28</v>
      </c>
      <c r="AZ124" s="58">
        <v>223</v>
      </c>
      <c r="BA124" s="59" t="s">
        <v>30</v>
      </c>
      <c r="BB124" s="81">
        <v>25104</v>
      </c>
      <c r="BC124" s="59" t="s">
        <v>30</v>
      </c>
      <c r="BD124" s="38">
        <f t="shared" si="20"/>
        <v>179314.28571428571</v>
      </c>
      <c r="BE124" s="46">
        <v>26.8</v>
      </c>
      <c r="BF124" s="59" t="s">
        <v>30</v>
      </c>
      <c r="BG124" s="57" t="s">
        <v>29</v>
      </c>
      <c r="BH124" s="45">
        <f>P124/100*31*17.99</f>
        <v>205975.384223</v>
      </c>
      <c r="BI124" s="45">
        <f>P124/100*31*35.98</f>
        <v>411950.768446</v>
      </c>
      <c r="BJ124" s="45">
        <v>1024453.0287500001</v>
      </c>
      <c r="BK124" s="86">
        <f t="shared" si="17"/>
        <v>1642379.181419</v>
      </c>
      <c r="BL124" s="46">
        <f>BE124*(1-0.25)*(1-0.25)*(1-0.375)*1.2</f>
        <v>11.30625</v>
      </c>
      <c r="BM124" s="90">
        <f t="shared" si="18"/>
        <v>38.106250000000003</v>
      </c>
      <c r="BN124" s="61" t="s">
        <v>32</v>
      </c>
      <c r="BO124" s="61" t="s">
        <v>32</v>
      </c>
    </row>
    <row r="125" spans="1:67" s="54" customFormat="1" ht="195">
      <c r="A125" s="55" t="s">
        <v>450</v>
      </c>
      <c r="B125" s="56" t="s">
        <v>36</v>
      </c>
      <c r="C125" s="36" t="s">
        <v>372</v>
      </c>
      <c r="D125" s="37" t="s">
        <v>375</v>
      </c>
      <c r="E125" s="57" t="s">
        <v>29</v>
      </c>
      <c r="F125" s="57" t="s">
        <v>28</v>
      </c>
      <c r="G125" s="57" t="s">
        <v>28</v>
      </c>
      <c r="H125" s="57" t="s">
        <v>28</v>
      </c>
      <c r="I125" s="57" t="s">
        <v>28</v>
      </c>
      <c r="J125" s="57" t="s">
        <v>28</v>
      </c>
      <c r="K125" s="58">
        <v>2900</v>
      </c>
      <c r="L125" s="58">
        <v>20000</v>
      </c>
      <c r="M125" s="57" t="s">
        <v>31</v>
      </c>
      <c r="N125" s="58">
        <v>20000</v>
      </c>
      <c r="O125" s="59" t="s">
        <v>31</v>
      </c>
      <c r="P125" s="58">
        <f>L125/100*72</f>
        <v>14400</v>
      </c>
      <c r="Q125" s="58">
        <v>2000</v>
      </c>
      <c r="R125" s="57" t="s">
        <v>31</v>
      </c>
      <c r="S125" s="56" t="s">
        <v>28</v>
      </c>
      <c r="T125" s="57" t="s">
        <v>29</v>
      </c>
      <c r="U125" s="58"/>
      <c r="V125" s="57" t="s">
        <v>29</v>
      </c>
      <c r="W125" s="58">
        <v>1000</v>
      </c>
      <c r="X125" s="58"/>
      <c r="Y125" s="58"/>
      <c r="Z125" s="59"/>
      <c r="AA125" s="58"/>
      <c r="AB125" s="58"/>
      <c r="AC125" s="58"/>
      <c r="AD125" s="59"/>
      <c r="AE125" s="58"/>
      <c r="AF125" s="58"/>
      <c r="AG125" s="59"/>
      <c r="AH125" s="58"/>
      <c r="AI125" s="58"/>
      <c r="AJ125" s="59"/>
      <c r="AK125" s="56" t="s">
        <v>28</v>
      </c>
      <c r="AL125" s="60"/>
      <c r="AM125" s="60"/>
      <c r="AN125" s="57" t="s">
        <v>28</v>
      </c>
      <c r="AO125" s="57" t="s">
        <v>28</v>
      </c>
      <c r="AP125" s="57" t="s">
        <v>29</v>
      </c>
      <c r="AQ125" s="56" t="s">
        <v>28</v>
      </c>
      <c r="AR125" s="56" t="s">
        <v>28</v>
      </c>
      <c r="AS125" s="56" t="s">
        <v>28</v>
      </c>
      <c r="AT125" s="56" t="s">
        <v>28</v>
      </c>
      <c r="AU125" s="56" t="s">
        <v>28</v>
      </c>
      <c r="AV125" s="56" t="s">
        <v>28</v>
      </c>
      <c r="AW125" s="56" t="s">
        <v>28</v>
      </c>
      <c r="AX125" s="56" t="s">
        <v>28</v>
      </c>
      <c r="AY125" s="56" t="s">
        <v>28</v>
      </c>
      <c r="AZ125" s="58">
        <v>7</v>
      </c>
      <c r="BA125" s="59" t="s">
        <v>30</v>
      </c>
      <c r="BB125" s="81">
        <v>10</v>
      </c>
      <c r="BC125" s="59" t="s">
        <v>31</v>
      </c>
      <c r="BD125" s="38">
        <f t="shared" si="20"/>
        <v>71.428571428571431</v>
      </c>
      <c r="BE125" s="46">
        <v>6</v>
      </c>
      <c r="BF125" s="59" t="s">
        <v>31</v>
      </c>
      <c r="BG125" s="57" t="s">
        <v>29</v>
      </c>
      <c r="BH125" s="45">
        <f>P125/100*44*11.29</f>
        <v>71533.439999999988</v>
      </c>
      <c r="BI125" s="45">
        <f>P125/100*44*22.59</f>
        <v>143130.23999999999</v>
      </c>
      <c r="BJ125" s="45">
        <v>6518.75</v>
      </c>
      <c r="BK125" s="86">
        <f t="shared" si="17"/>
        <v>221182.43</v>
      </c>
      <c r="BL125" s="46">
        <f>BE125*(1-0.25)*(1-0.21)*(1-0.25)*1.2</f>
        <v>3.1995</v>
      </c>
      <c r="BM125" s="90">
        <f t="shared" si="18"/>
        <v>9.1995000000000005</v>
      </c>
      <c r="BN125" s="61" t="s">
        <v>50</v>
      </c>
      <c r="BO125" s="61" t="s">
        <v>217</v>
      </c>
    </row>
    <row r="126" spans="1:67" s="54" customFormat="1" ht="45">
      <c r="A126" s="55" t="s">
        <v>358</v>
      </c>
      <c r="B126" s="56" t="s">
        <v>42</v>
      </c>
      <c r="C126" s="36" t="s">
        <v>372</v>
      </c>
      <c r="D126" s="37" t="s">
        <v>376</v>
      </c>
      <c r="E126" s="57" t="s">
        <v>29</v>
      </c>
      <c r="F126" s="57" t="s">
        <v>28</v>
      </c>
      <c r="G126" s="57" t="s">
        <v>28</v>
      </c>
      <c r="H126" s="57" t="s">
        <v>28</v>
      </c>
      <c r="I126" s="57" t="s">
        <v>28</v>
      </c>
      <c r="J126" s="57" t="s">
        <v>28</v>
      </c>
      <c r="K126" s="58">
        <v>2670.5</v>
      </c>
      <c r="L126" s="58">
        <v>145337</v>
      </c>
      <c r="M126" s="57" t="s">
        <v>30</v>
      </c>
      <c r="N126" s="58"/>
      <c r="O126" s="59"/>
      <c r="P126" s="58">
        <f>L126/100*69</f>
        <v>100282.53</v>
      </c>
      <c r="Q126" s="58"/>
      <c r="R126" s="57"/>
      <c r="S126" s="56" t="s">
        <v>359</v>
      </c>
      <c r="T126" s="57" t="s">
        <v>29</v>
      </c>
      <c r="U126" s="58">
        <v>64780</v>
      </c>
      <c r="V126" s="57" t="s">
        <v>29</v>
      </c>
      <c r="W126" s="58">
        <v>9404</v>
      </c>
      <c r="X126" s="58">
        <v>892</v>
      </c>
      <c r="Y126" s="58">
        <v>29328</v>
      </c>
      <c r="Z126" s="59" t="s">
        <v>31</v>
      </c>
      <c r="AA126" s="58">
        <v>81</v>
      </c>
      <c r="AB126" s="58">
        <v>2445</v>
      </c>
      <c r="AC126" s="58"/>
      <c r="AD126" s="59" t="s">
        <v>31</v>
      </c>
      <c r="AE126" s="58"/>
      <c r="AF126" s="58"/>
      <c r="AG126" s="59" t="s">
        <v>31</v>
      </c>
      <c r="AH126" s="58"/>
      <c r="AI126" s="58">
        <v>991</v>
      </c>
      <c r="AJ126" s="59" t="s">
        <v>31</v>
      </c>
      <c r="AK126" s="56" t="s">
        <v>29</v>
      </c>
      <c r="AL126" s="60">
        <v>5</v>
      </c>
      <c r="AM126" s="60">
        <v>2.5</v>
      </c>
      <c r="AN126" s="57" t="s">
        <v>29</v>
      </c>
      <c r="AO126" s="57" t="s">
        <v>28</v>
      </c>
      <c r="AP126" s="57" t="s">
        <v>28</v>
      </c>
      <c r="AQ126" s="56" t="s">
        <v>28</v>
      </c>
      <c r="AR126" s="56" t="s">
        <v>28</v>
      </c>
      <c r="AS126" s="56" t="s">
        <v>29</v>
      </c>
      <c r="AT126" s="56" t="s">
        <v>29</v>
      </c>
      <c r="AU126" s="56" t="s">
        <v>29</v>
      </c>
      <c r="AV126" s="56" t="s">
        <v>28</v>
      </c>
      <c r="AW126" s="56" t="s">
        <v>29</v>
      </c>
      <c r="AX126" s="56" t="s">
        <v>28</v>
      </c>
      <c r="AY126" s="56" t="s">
        <v>28</v>
      </c>
      <c r="AZ126" s="58">
        <v>116</v>
      </c>
      <c r="BA126" s="59" t="s">
        <v>31</v>
      </c>
      <c r="BB126" s="81">
        <v>6562</v>
      </c>
      <c r="BC126" s="59" t="s">
        <v>31</v>
      </c>
      <c r="BD126" s="38">
        <f t="shared" si="20"/>
        <v>46871.428571428572</v>
      </c>
      <c r="BE126" s="46">
        <v>22.8</v>
      </c>
      <c r="BF126" s="59" t="s">
        <v>31</v>
      </c>
      <c r="BG126" s="57" t="s">
        <v>29</v>
      </c>
      <c r="BH126" s="45">
        <f>P126/100*31*11.29</f>
        <v>350978.82674699998</v>
      </c>
      <c r="BI126" s="45">
        <f>P126/100*31*22.59</f>
        <v>702268.52933699999</v>
      </c>
      <c r="BJ126" s="45">
        <v>991838.40562500001</v>
      </c>
      <c r="BK126" s="86">
        <f t="shared" si="17"/>
        <v>2045085.761709</v>
      </c>
      <c r="BL126" s="46">
        <f>BE126*(1-0.25)*(1-0.25)*(1-0.375)*1.2</f>
        <v>9.6187500000000004</v>
      </c>
      <c r="BM126" s="90">
        <f t="shared" si="18"/>
        <v>32.418750000000003</v>
      </c>
      <c r="BN126" s="61" t="s">
        <v>32</v>
      </c>
      <c r="BO126" s="61" t="s">
        <v>32</v>
      </c>
    </row>
    <row r="127" spans="1:67" s="54" customFormat="1" ht="30">
      <c r="A127" s="55" t="s">
        <v>365</v>
      </c>
      <c r="B127" s="56" t="s">
        <v>27</v>
      </c>
      <c r="C127" s="36" t="s">
        <v>374</v>
      </c>
      <c r="D127" s="37" t="s">
        <v>378</v>
      </c>
      <c r="E127" s="57" t="s">
        <v>29</v>
      </c>
      <c r="F127" s="57" t="s">
        <v>28</v>
      </c>
      <c r="G127" s="57" t="s">
        <v>28</v>
      </c>
      <c r="H127" s="57" t="s">
        <v>28</v>
      </c>
      <c r="I127" s="57" t="s">
        <v>28</v>
      </c>
      <c r="J127" s="57" t="s">
        <v>28</v>
      </c>
      <c r="K127" s="58">
        <v>2422</v>
      </c>
      <c r="L127" s="58">
        <v>94815</v>
      </c>
      <c r="M127" s="57" t="s">
        <v>30</v>
      </c>
      <c r="N127" s="58"/>
      <c r="O127" s="59"/>
      <c r="P127" s="58">
        <f>L127/100*61</f>
        <v>57837.15</v>
      </c>
      <c r="Q127" s="58"/>
      <c r="R127" s="57"/>
      <c r="S127" s="56" t="s">
        <v>366</v>
      </c>
      <c r="T127" s="57" t="s">
        <v>29</v>
      </c>
      <c r="U127" s="58"/>
      <c r="V127" s="57" t="s">
        <v>29</v>
      </c>
      <c r="W127" s="58"/>
      <c r="X127" s="58"/>
      <c r="Y127" s="58"/>
      <c r="Z127" s="59"/>
      <c r="AA127" s="58"/>
      <c r="AB127" s="58"/>
      <c r="AC127" s="58"/>
      <c r="AD127" s="59"/>
      <c r="AE127" s="58"/>
      <c r="AF127" s="58"/>
      <c r="AG127" s="59"/>
      <c r="AH127" s="58"/>
      <c r="AI127" s="58"/>
      <c r="AJ127" s="59"/>
      <c r="AK127" s="56" t="s">
        <v>28</v>
      </c>
      <c r="AL127" s="60"/>
      <c r="AM127" s="60"/>
      <c r="AN127" s="57" t="s">
        <v>29</v>
      </c>
      <c r="AO127" s="57" t="s">
        <v>29</v>
      </c>
      <c r="AP127" s="57"/>
      <c r="AQ127" s="56" t="s">
        <v>28</v>
      </c>
      <c r="AR127" s="56" t="s">
        <v>28</v>
      </c>
      <c r="AS127" s="56" t="s">
        <v>28</v>
      </c>
      <c r="AT127" s="56" t="s">
        <v>28</v>
      </c>
      <c r="AU127" s="56" t="s">
        <v>28</v>
      </c>
      <c r="AV127" s="56" t="s">
        <v>28</v>
      </c>
      <c r="AW127" s="56" t="s">
        <v>28</v>
      </c>
      <c r="AX127" s="56" t="s">
        <v>28</v>
      </c>
      <c r="AY127" s="56" t="s">
        <v>28</v>
      </c>
      <c r="AZ127" s="58">
        <v>147</v>
      </c>
      <c r="BA127" s="59" t="s">
        <v>30</v>
      </c>
      <c r="BB127" s="81">
        <v>1958.5</v>
      </c>
      <c r="BC127" s="59" t="s">
        <v>30</v>
      </c>
      <c r="BD127" s="38">
        <f t="shared" si="20"/>
        <v>13989.285714285714</v>
      </c>
      <c r="BE127" s="46">
        <v>9.18</v>
      </c>
      <c r="BF127" s="59" t="s">
        <v>30</v>
      </c>
      <c r="BG127" s="57" t="s">
        <v>29</v>
      </c>
      <c r="BH127" s="45">
        <f>P127/100*31*8.9</f>
        <v>159572.69684999998</v>
      </c>
      <c r="BI127" s="45">
        <f>P127/100*31*17.79</f>
        <v>318966.09853499994</v>
      </c>
      <c r="BJ127" s="45">
        <v>55270.610625000001</v>
      </c>
      <c r="BK127" s="86">
        <f t="shared" si="17"/>
        <v>533809.40600999992</v>
      </c>
      <c r="BL127" s="46">
        <f>BE127*(1-0.25)*(1-0.25)*(1-0.375)*1.2</f>
        <v>3.8728125000000002</v>
      </c>
      <c r="BM127" s="90">
        <f t="shared" si="18"/>
        <v>13.0528125</v>
      </c>
      <c r="BN127" s="61" t="s">
        <v>32</v>
      </c>
      <c r="BO127" s="61" t="s">
        <v>32</v>
      </c>
    </row>
    <row r="128" spans="1:67" s="54" customFormat="1" ht="75">
      <c r="A128" s="55" t="s">
        <v>137</v>
      </c>
      <c r="B128" s="56" t="s">
        <v>27</v>
      </c>
      <c r="C128" s="36" t="s">
        <v>372</v>
      </c>
      <c r="D128" s="37" t="s">
        <v>377</v>
      </c>
      <c r="E128" s="57" t="s">
        <v>29</v>
      </c>
      <c r="F128" s="57" t="s">
        <v>28</v>
      </c>
      <c r="G128" s="57" t="s">
        <v>28</v>
      </c>
      <c r="H128" s="57" t="s">
        <v>28</v>
      </c>
      <c r="I128" s="57" t="s">
        <v>28</v>
      </c>
      <c r="J128" s="57" t="s">
        <v>28</v>
      </c>
      <c r="K128" s="58">
        <v>837</v>
      </c>
      <c r="L128" s="58">
        <v>6957</v>
      </c>
      <c r="M128" s="57" t="s">
        <v>30</v>
      </c>
      <c r="N128" s="58">
        <v>5147</v>
      </c>
      <c r="O128" s="59" t="s">
        <v>30</v>
      </c>
      <c r="P128" s="58">
        <f>L128/100*75</f>
        <v>5217.7499999999991</v>
      </c>
      <c r="Q128" s="58">
        <v>1808</v>
      </c>
      <c r="R128" s="57" t="s">
        <v>30</v>
      </c>
      <c r="S128" s="56" t="s">
        <v>28</v>
      </c>
      <c r="T128" s="57" t="s">
        <v>29</v>
      </c>
      <c r="U128" s="58">
        <v>3046</v>
      </c>
      <c r="V128" s="57" t="s">
        <v>28</v>
      </c>
      <c r="W128" s="58"/>
      <c r="X128" s="58">
        <v>4</v>
      </c>
      <c r="Y128" s="58">
        <v>106</v>
      </c>
      <c r="Z128" s="59" t="s">
        <v>30</v>
      </c>
      <c r="AA128" s="58"/>
      <c r="AB128" s="58"/>
      <c r="AC128" s="58">
        <v>4</v>
      </c>
      <c r="AD128" s="59" t="s">
        <v>30</v>
      </c>
      <c r="AE128" s="58">
        <v>8</v>
      </c>
      <c r="AF128" s="58">
        <v>100</v>
      </c>
      <c r="AG128" s="59" t="s">
        <v>31</v>
      </c>
      <c r="AH128" s="58">
        <v>1</v>
      </c>
      <c r="AI128" s="58"/>
      <c r="AJ128" s="59" t="s">
        <v>31</v>
      </c>
      <c r="AK128" s="56" t="s">
        <v>28</v>
      </c>
      <c r="AL128" s="60"/>
      <c r="AM128" s="60"/>
      <c r="AN128" s="57" t="s">
        <v>29</v>
      </c>
      <c r="AO128" s="57" t="s">
        <v>28</v>
      </c>
      <c r="AP128" s="57" t="s">
        <v>28</v>
      </c>
      <c r="AQ128" s="56" t="s">
        <v>29</v>
      </c>
      <c r="AR128" s="56" t="s">
        <v>28</v>
      </c>
      <c r="AS128" s="56" t="s">
        <v>29</v>
      </c>
      <c r="AT128" s="56" t="s">
        <v>29</v>
      </c>
      <c r="AU128" s="56" t="s">
        <v>29</v>
      </c>
      <c r="AV128" s="56" t="s">
        <v>29</v>
      </c>
      <c r="AW128" s="56" t="s">
        <v>28</v>
      </c>
      <c r="AX128" s="56" t="s">
        <v>28</v>
      </c>
      <c r="AY128" s="56" t="s">
        <v>28</v>
      </c>
      <c r="AZ128" s="58">
        <v>48</v>
      </c>
      <c r="BA128" s="59" t="s">
        <v>30</v>
      </c>
      <c r="BB128" s="81">
        <v>3306</v>
      </c>
      <c r="BC128" s="59" t="s">
        <v>30</v>
      </c>
      <c r="BD128" s="38">
        <f t="shared" si="20"/>
        <v>23614.285714285714</v>
      </c>
      <c r="BE128" s="46">
        <v>0</v>
      </c>
      <c r="BF128" s="59" t="s">
        <v>30</v>
      </c>
      <c r="BG128" s="57" t="s">
        <v>28</v>
      </c>
      <c r="BH128" s="45">
        <f>P128/100*47*11.29</f>
        <v>27686.946824999988</v>
      </c>
      <c r="BI128" s="45">
        <f>P128/100*47*22.59</f>
        <v>55398.417074999983</v>
      </c>
      <c r="BJ128" s="45">
        <v>23206.75</v>
      </c>
      <c r="BK128" s="86">
        <f t="shared" si="17"/>
        <v>106292.11389999997</v>
      </c>
      <c r="BL128" s="46">
        <f t="shared" ref="BL128:BL136" si="22">BE128*(1-0.25)*(1-0.21)*(1-0.25)*1.2</f>
        <v>0</v>
      </c>
      <c r="BM128" s="90">
        <f t="shared" si="18"/>
        <v>0</v>
      </c>
      <c r="BN128" s="61" t="s">
        <v>138</v>
      </c>
      <c r="BO128" s="61" t="s">
        <v>139</v>
      </c>
    </row>
    <row r="129" spans="1:67" s="54" customFormat="1" ht="30">
      <c r="A129" s="55" t="s">
        <v>67</v>
      </c>
      <c r="B129" s="56" t="s">
        <v>42</v>
      </c>
      <c r="C129" s="36" t="s">
        <v>372</v>
      </c>
      <c r="D129" s="37" t="s">
        <v>375</v>
      </c>
      <c r="E129" s="57" t="s">
        <v>29</v>
      </c>
      <c r="F129" s="57" t="s">
        <v>28</v>
      </c>
      <c r="G129" s="57" t="s">
        <v>28</v>
      </c>
      <c r="H129" s="57" t="s">
        <v>28</v>
      </c>
      <c r="I129" s="57" t="s">
        <v>28</v>
      </c>
      <c r="J129" s="57" t="s">
        <v>28</v>
      </c>
      <c r="K129" s="58">
        <v>1000</v>
      </c>
      <c r="L129" s="58">
        <v>11075</v>
      </c>
      <c r="M129" s="57" t="s">
        <v>30</v>
      </c>
      <c r="N129" s="58">
        <v>8000</v>
      </c>
      <c r="O129" s="59" t="s">
        <v>31</v>
      </c>
      <c r="P129" s="58">
        <f>L129/100*72</f>
        <v>7974</v>
      </c>
      <c r="Q129" s="58">
        <v>3075</v>
      </c>
      <c r="R129" s="57" t="s">
        <v>31</v>
      </c>
      <c r="S129" s="56" t="s">
        <v>61</v>
      </c>
      <c r="T129" s="57" t="s">
        <v>29</v>
      </c>
      <c r="U129" s="58"/>
      <c r="V129" s="57" t="s">
        <v>29</v>
      </c>
      <c r="W129" s="58">
        <v>1726</v>
      </c>
      <c r="X129" s="58">
        <v>22</v>
      </c>
      <c r="Y129" s="58">
        <v>575</v>
      </c>
      <c r="Z129" s="59" t="s">
        <v>31</v>
      </c>
      <c r="AA129" s="58">
        <v>0</v>
      </c>
      <c r="AB129" s="58">
        <v>0</v>
      </c>
      <c r="AC129" s="58"/>
      <c r="AD129" s="59" t="s">
        <v>31</v>
      </c>
      <c r="AE129" s="58">
        <v>95</v>
      </c>
      <c r="AF129" s="58">
        <v>800</v>
      </c>
      <c r="AG129" s="59" t="s">
        <v>31</v>
      </c>
      <c r="AH129" s="58">
        <v>12</v>
      </c>
      <c r="AI129" s="58">
        <v>2474</v>
      </c>
      <c r="AJ129" s="59" t="s">
        <v>31</v>
      </c>
      <c r="AK129" s="56" t="s">
        <v>28</v>
      </c>
      <c r="AL129" s="60"/>
      <c r="AM129" s="60"/>
      <c r="AN129" s="57" t="s">
        <v>29</v>
      </c>
      <c r="AO129" s="57" t="s">
        <v>29</v>
      </c>
      <c r="AP129" s="57"/>
      <c r="AQ129" s="56" t="s">
        <v>28</v>
      </c>
      <c r="AR129" s="56" t="s">
        <v>29</v>
      </c>
      <c r="AS129" s="56" t="s">
        <v>28</v>
      </c>
      <c r="AT129" s="56" t="s">
        <v>29</v>
      </c>
      <c r="AU129" s="56" t="s">
        <v>28</v>
      </c>
      <c r="AV129" s="56" t="s">
        <v>28</v>
      </c>
      <c r="AW129" s="56" t="s">
        <v>28</v>
      </c>
      <c r="AX129" s="56" t="s">
        <v>28</v>
      </c>
      <c r="AY129" s="56" t="s">
        <v>28</v>
      </c>
      <c r="AZ129" s="58">
        <v>15</v>
      </c>
      <c r="BA129" s="59" t="s">
        <v>30</v>
      </c>
      <c r="BB129" s="81">
        <v>1000</v>
      </c>
      <c r="BC129" s="59" t="s">
        <v>31</v>
      </c>
      <c r="BD129" s="38">
        <f t="shared" si="20"/>
        <v>7142.8571428571431</v>
      </c>
      <c r="BE129" s="46">
        <v>2.5</v>
      </c>
      <c r="BF129" s="59" t="s">
        <v>30</v>
      </c>
      <c r="BG129" s="57" t="s">
        <v>28</v>
      </c>
      <c r="BH129" s="45">
        <f>P129/100*44*11.29</f>
        <v>39611.642399999997</v>
      </c>
      <c r="BI129" s="45">
        <f>P129/100*44*22.59</f>
        <v>79258.3704</v>
      </c>
      <c r="BJ129" s="45">
        <v>123334.75</v>
      </c>
      <c r="BK129" s="86">
        <f t="shared" si="17"/>
        <v>242204.7628</v>
      </c>
      <c r="BL129" s="46">
        <f t="shared" si="22"/>
        <v>1.3331250000000001</v>
      </c>
      <c r="BM129" s="90">
        <f t="shared" si="18"/>
        <v>3.8331249999999999</v>
      </c>
      <c r="BN129" s="61" t="s">
        <v>69</v>
      </c>
      <c r="BO129" s="61" t="s">
        <v>70</v>
      </c>
    </row>
    <row r="130" spans="1:67" s="54" customFormat="1" ht="45">
      <c r="A130" s="55" t="s">
        <v>362</v>
      </c>
      <c r="B130" s="56" t="s">
        <v>42</v>
      </c>
      <c r="C130" s="36" t="s">
        <v>372</v>
      </c>
      <c r="D130" s="37" t="s">
        <v>377</v>
      </c>
      <c r="E130" s="57" t="s">
        <v>28</v>
      </c>
      <c r="F130" s="57" t="s">
        <v>29</v>
      </c>
      <c r="G130" s="57" t="s">
        <v>28</v>
      </c>
      <c r="H130" s="57" t="s">
        <v>28</v>
      </c>
      <c r="I130" s="57" t="s">
        <v>28</v>
      </c>
      <c r="J130" s="57" t="s">
        <v>28</v>
      </c>
      <c r="K130" s="58">
        <v>1569</v>
      </c>
      <c r="L130" s="58">
        <v>6720</v>
      </c>
      <c r="M130" s="57" t="s">
        <v>30</v>
      </c>
      <c r="N130" s="58">
        <v>3551</v>
      </c>
      <c r="O130" s="59" t="s">
        <v>30</v>
      </c>
      <c r="P130" s="58">
        <f>L130/100*75</f>
        <v>5040</v>
      </c>
      <c r="Q130" s="58">
        <v>3169</v>
      </c>
      <c r="R130" s="57" t="s">
        <v>30</v>
      </c>
      <c r="S130" s="56" t="s">
        <v>360</v>
      </c>
      <c r="T130" s="57" t="s">
        <v>29</v>
      </c>
      <c r="U130" s="58">
        <v>12763</v>
      </c>
      <c r="V130" s="57" t="s">
        <v>29</v>
      </c>
      <c r="W130" s="58">
        <v>672</v>
      </c>
      <c r="X130" s="58">
        <v>38</v>
      </c>
      <c r="Y130" s="58">
        <v>938</v>
      </c>
      <c r="Z130" s="59" t="s">
        <v>30</v>
      </c>
      <c r="AA130" s="58">
        <v>0</v>
      </c>
      <c r="AB130" s="58">
        <v>0</v>
      </c>
      <c r="AC130" s="58"/>
      <c r="AD130" s="59" t="s">
        <v>30</v>
      </c>
      <c r="AE130" s="58">
        <v>18</v>
      </c>
      <c r="AF130" s="58">
        <v>635</v>
      </c>
      <c r="AG130" s="59" t="s">
        <v>30</v>
      </c>
      <c r="AH130" s="58">
        <v>0</v>
      </c>
      <c r="AI130" s="58">
        <v>0</v>
      </c>
      <c r="AJ130" s="59" t="s">
        <v>30</v>
      </c>
      <c r="AK130" s="56" t="s">
        <v>29</v>
      </c>
      <c r="AL130" s="60">
        <v>3.5</v>
      </c>
      <c r="AM130" s="60">
        <v>0</v>
      </c>
      <c r="AN130" s="57" t="s">
        <v>29</v>
      </c>
      <c r="AO130" s="57" t="s">
        <v>28</v>
      </c>
      <c r="AP130" s="57" t="s">
        <v>28</v>
      </c>
      <c r="AQ130" s="56" t="s">
        <v>28</v>
      </c>
      <c r="AR130" s="56" t="s">
        <v>28</v>
      </c>
      <c r="AS130" s="56" t="s">
        <v>29</v>
      </c>
      <c r="AT130" s="56" t="s">
        <v>29</v>
      </c>
      <c r="AU130" s="56" t="s">
        <v>28</v>
      </c>
      <c r="AV130" s="56" t="s">
        <v>29</v>
      </c>
      <c r="AW130" s="56" t="s">
        <v>28</v>
      </c>
      <c r="AX130" s="56" t="s">
        <v>363</v>
      </c>
      <c r="AY130" s="56" t="s">
        <v>28</v>
      </c>
      <c r="AZ130" s="58">
        <v>23</v>
      </c>
      <c r="BA130" s="59" t="s">
        <v>31</v>
      </c>
      <c r="BB130" s="81">
        <v>956</v>
      </c>
      <c r="BC130" s="59" t="s">
        <v>31</v>
      </c>
      <c r="BD130" s="38">
        <f t="shared" si="20"/>
        <v>6828.5714285714294</v>
      </c>
      <c r="BE130" s="46">
        <v>2</v>
      </c>
      <c r="BF130" s="59" t="s">
        <v>31</v>
      </c>
      <c r="BG130" s="57" t="s">
        <v>29</v>
      </c>
      <c r="BH130" s="45">
        <f>P130/100*47*11.29</f>
        <v>26743.751999999993</v>
      </c>
      <c r="BI130" s="45">
        <f>P130/100*47*22.59</f>
        <v>53511.191999999995</v>
      </c>
      <c r="BJ130" s="45">
        <v>40476.196425000016</v>
      </c>
      <c r="BK130" s="86">
        <f t="shared" si="17"/>
        <v>120731.14042500001</v>
      </c>
      <c r="BL130" s="46">
        <f t="shared" si="22"/>
        <v>1.0665</v>
      </c>
      <c r="BM130" s="90">
        <f t="shared" si="18"/>
        <v>3.0665</v>
      </c>
      <c r="BN130" s="61" t="s">
        <v>32</v>
      </c>
      <c r="BO130" s="61" t="s">
        <v>32</v>
      </c>
    </row>
    <row r="131" spans="1:67" s="54" customFormat="1" ht="30">
      <c r="A131" s="55" t="s">
        <v>357</v>
      </c>
      <c r="B131" s="56" t="s">
        <v>42</v>
      </c>
      <c r="C131" s="62" t="s">
        <v>371</v>
      </c>
      <c r="D131" s="37" t="s">
        <v>375</v>
      </c>
      <c r="E131" s="57" t="s">
        <v>29</v>
      </c>
      <c r="F131" s="57" t="s">
        <v>28</v>
      </c>
      <c r="G131" s="57" t="s">
        <v>28</v>
      </c>
      <c r="H131" s="57" t="s">
        <v>28</v>
      </c>
      <c r="I131" s="57" t="s">
        <v>28</v>
      </c>
      <c r="J131" s="57" t="s">
        <v>28</v>
      </c>
      <c r="K131" s="58">
        <v>2450</v>
      </c>
      <c r="L131" s="58">
        <v>40986</v>
      </c>
      <c r="M131" s="57" t="s">
        <v>30</v>
      </c>
      <c r="N131" s="58">
        <v>21876</v>
      </c>
      <c r="O131" s="59" t="s">
        <v>31</v>
      </c>
      <c r="P131" s="58">
        <f>L131/100*72</f>
        <v>29509.920000000002</v>
      </c>
      <c r="Q131" s="58">
        <v>19110</v>
      </c>
      <c r="R131" s="57" t="s">
        <v>31</v>
      </c>
      <c r="S131" s="56" t="s">
        <v>28</v>
      </c>
      <c r="T131" s="57" t="s">
        <v>29</v>
      </c>
      <c r="U131" s="58"/>
      <c r="V131" s="57" t="s">
        <v>29</v>
      </c>
      <c r="W131" s="58">
        <v>2167</v>
      </c>
      <c r="X131" s="58"/>
      <c r="Y131" s="58">
        <v>16222</v>
      </c>
      <c r="Z131" s="59" t="s">
        <v>31</v>
      </c>
      <c r="AA131" s="58"/>
      <c r="AB131" s="58">
        <v>1520</v>
      </c>
      <c r="AC131" s="58"/>
      <c r="AD131" s="59" t="s">
        <v>31</v>
      </c>
      <c r="AE131" s="58">
        <v>50</v>
      </c>
      <c r="AF131" s="58">
        <v>18</v>
      </c>
      <c r="AG131" s="59" t="s">
        <v>31</v>
      </c>
      <c r="AH131" s="58">
        <v>5</v>
      </c>
      <c r="AI131" s="58">
        <v>1800</v>
      </c>
      <c r="AJ131" s="59" t="s">
        <v>31</v>
      </c>
      <c r="AK131" s="56" t="s">
        <v>29</v>
      </c>
      <c r="AL131" s="60">
        <v>6</v>
      </c>
      <c r="AM131" s="60">
        <v>3</v>
      </c>
      <c r="AN131" s="57" t="s">
        <v>29</v>
      </c>
      <c r="AO131" s="57" t="s">
        <v>28</v>
      </c>
      <c r="AP131" s="57" t="s">
        <v>29</v>
      </c>
      <c r="AQ131" s="56" t="s">
        <v>29</v>
      </c>
      <c r="AR131" s="56" t="s">
        <v>28</v>
      </c>
      <c r="AS131" s="56" t="s">
        <v>29</v>
      </c>
      <c r="AT131" s="56" t="s">
        <v>29</v>
      </c>
      <c r="AU131" s="56" t="s">
        <v>28</v>
      </c>
      <c r="AV131" s="56" t="s">
        <v>28</v>
      </c>
      <c r="AW131" s="56" t="s">
        <v>28</v>
      </c>
      <c r="AX131" s="56" t="s">
        <v>28</v>
      </c>
      <c r="AY131" s="56" t="s">
        <v>28</v>
      </c>
      <c r="AZ131" s="58">
        <v>12</v>
      </c>
      <c r="BA131" s="59" t="s">
        <v>31</v>
      </c>
      <c r="BB131" s="81">
        <v>1812</v>
      </c>
      <c r="BC131" s="59" t="s">
        <v>31</v>
      </c>
      <c r="BD131" s="38">
        <f t="shared" si="20"/>
        <v>12942.857142857141</v>
      </c>
      <c r="BE131" s="46">
        <v>4.9000000000000004</v>
      </c>
      <c r="BF131" s="59" t="s">
        <v>31</v>
      </c>
      <c r="BG131" s="57" t="s">
        <v>29</v>
      </c>
      <c r="BH131" s="45">
        <f>P131/100*44*12.86</f>
        <v>166978.93132799998</v>
      </c>
      <c r="BI131" s="45">
        <f>P131/100*44*25.73</f>
        <v>334087.70630399999</v>
      </c>
      <c r="BJ131" s="45">
        <v>319877.67</v>
      </c>
      <c r="BK131" s="86">
        <f t="shared" ref="BK131:BK136" si="23">BH131+BI131+BJ131</f>
        <v>820944.30763199995</v>
      </c>
      <c r="BL131" s="46">
        <f t="shared" si="22"/>
        <v>2.6129250000000002</v>
      </c>
      <c r="BM131" s="90">
        <f t="shared" ref="BM131:BM136" si="24">SUBTOTAL(9,BE131,BL131)</f>
        <v>7.512925000000001</v>
      </c>
      <c r="BN131" s="61" t="s">
        <v>32</v>
      </c>
      <c r="BO131" s="61" t="s">
        <v>32</v>
      </c>
    </row>
    <row r="132" spans="1:67" s="54" customFormat="1" ht="45">
      <c r="A132" s="55" t="s">
        <v>104</v>
      </c>
      <c r="B132" s="56" t="s">
        <v>36</v>
      </c>
      <c r="C132" s="36" t="s">
        <v>370</v>
      </c>
      <c r="D132" s="37" t="s">
        <v>375</v>
      </c>
      <c r="E132" s="57" t="s">
        <v>29</v>
      </c>
      <c r="F132" s="57" t="s">
        <v>28</v>
      </c>
      <c r="G132" s="57" t="s">
        <v>28</v>
      </c>
      <c r="H132" s="57" t="s">
        <v>28</v>
      </c>
      <c r="I132" s="57" t="s">
        <v>28</v>
      </c>
      <c r="J132" s="57" t="s">
        <v>28</v>
      </c>
      <c r="K132" s="58">
        <v>970</v>
      </c>
      <c r="L132" s="58">
        <v>16815</v>
      </c>
      <c r="M132" s="57" t="s">
        <v>30</v>
      </c>
      <c r="N132" s="58">
        <v>10360</v>
      </c>
      <c r="O132" s="59" t="s">
        <v>30</v>
      </c>
      <c r="P132" s="58">
        <f>L132/100*72</f>
        <v>12106.800000000001</v>
      </c>
      <c r="Q132" s="58">
        <v>6455</v>
      </c>
      <c r="R132" s="57" t="s">
        <v>30</v>
      </c>
      <c r="S132" s="56" t="s">
        <v>50</v>
      </c>
      <c r="T132" s="57" t="s">
        <v>29</v>
      </c>
      <c r="U132" s="58">
        <v>36816</v>
      </c>
      <c r="V132" s="57" t="s">
        <v>29</v>
      </c>
      <c r="W132" s="58">
        <v>2824</v>
      </c>
      <c r="X132" s="58">
        <v>81</v>
      </c>
      <c r="Y132" s="58">
        <v>3406</v>
      </c>
      <c r="Z132" s="59" t="s">
        <v>30</v>
      </c>
      <c r="AA132" s="58">
        <v>18</v>
      </c>
      <c r="AB132" s="58">
        <v>472</v>
      </c>
      <c r="AC132" s="58">
        <v>67</v>
      </c>
      <c r="AD132" s="59" t="s">
        <v>30</v>
      </c>
      <c r="AE132" s="58">
        <v>0</v>
      </c>
      <c r="AF132" s="58">
        <v>0</v>
      </c>
      <c r="AG132" s="59" t="s">
        <v>30</v>
      </c>
      <c r="AH132" s="58">
        <v>0</v>
      </c>
      <c r="AI132" s="58">
        <v>0</v>
      </c>
      <c r="AJ132" s="59" t="s">
        <v>30</v>
      </c>
      <c r="AK132" s="56" t="s">
        <v>28</v>
      </c>
      <c r="AL132" s="60"/>
      <c r="AM132" s="60"/>
      <c r="AN132" s="57" t="s">
        <v>28</v>
      </c>
      <c r="AO132" s="57" t="s">
        <v>28</v>
      </c>
      <c r="AP132" s="57" t="s">
        <v>28</v>
      </c>
      <c r="AQ132" s="56" t="s">
        <v>29</v>
      </c>
      <c r="AR132" s="56" t="s">
        <v>28</v>
      </c>
      <c r="AS132" s="56" t="s">
        <v>29</v>
      </c>
      <c r="AT132" s="56" t="s">
        <v>29</v>
      </c>
      <c r="AU132" s="56" t="s">
        <v>28</v>
      </c>
      <c r="AV132" s="56" t="s">
        <v>28</v>
      </c>
      <c r="AW132" s="56" t="s">
        <v>28</v>
      </c>
      <c r="AX132" s="56" t="s">
        <v>28</v>
      </c>
      <c r="AY132" s="56" t="s">
        <v>28</v>
      </c>
      <c r="AZ132" s="58">
        <v>20</v>
      </c>
      <c r="BA132" s="59" t="s">
        <v>30</v>
      </c>
      <c r="BB132" s="81">
        <v>150</v>
      </c>
      <c r="BC132" s="59" t="s">
        <v>30</v>
      </c>
      <c r="BD132" s="38">
        <f t="shared" si="20"/>
        <v>1071.4285714285713</v>
      </c>
      <c r="BE132" s="46">
        <v>6</v>
      </c>
      <c r="BF132" s="59" t="s">
        <v>30</v>
      </c>
      <c r="BG132" s="57" t="s">
        <v>29</v>
      </c>
      <c r="BH132" s="45">
        <f>P132/100*44*17.99</f>
        <v>95832.586079999994</v>
      </c>
      <c r="BI132" s="45">
        <f>P132/100*44*35.98</f>
        <v>191665.17215999999</v>
      </c>
      <c r="BJ132" s="45">
        <v>8149.350124999999</v>
      </c>
      <c r="BK132" s="86">
        <f t="shared" si="23"/>
        <v>295647.10836499999</v>
      </c>
      <c r="BL132" s="46">
        <f t="shared" si="22"/>
        <v>3.1995</v>
      </c>
      <c r="BM132" s="90">
        <f t="shared" si="24"/>
        <v>9.1995000000000005</v>
      </c>
      <c r="BN132" s="61" t="s">
        <v>50</v>
      </c>
      <c r="BO132" s="61" t="s">
        <v>50</v>
      </c>
    </row>
    <row r="133" spans="1:67" s="54" customFormat="1">
      <c r="A133" s="55" t="s">
        <v>171</v>
      </c>
      <c r="B133" s="56" t="s">
        <v>27</v>
      </c>
      <c r="C133" s="36" t="s">
        <v>370</v>
      </c>
      <c r="D133" s="37" t="s">
        <v>377</v>
      </c>
      <c r="E133" s="57" t="s">
        <v>29</v>
      </c>
      <c r="F133" s="57" t="s">
        <v>28</v>
      </c>
      <c r="G133" s="57" t="s">
        <v>28</v>
      </c>
      <c r="H133" s="57" t="s">
        <v>28</v>
      </c>
      <c r="I133" s="57" t="s">
        <v>28</v>
      </c>
      <c r="J133" s="57" t="s">
        <v>28</v>
      </c>
      <c r="K133" s="58">
        <v>316</v>
      </c>
      <c r="L133" s="58">
        <v>400</v>
      </c>
      <c r="M133" s="57" t="s">
        <v>31</v>
      </c>
      <c r="N133" s="58">
        <v>320</v>
      </c>
      <c r="O133" s="59" t="s">
        <v>31</v>
      </c>
      <c r="P133" s="58">
        <f>L133/100*75</f>
        <v>300</v>
      </c>
      <c r="Q133" s="58">
        <v>80</v>
      </c>
      <c r="R133" s="57" t="s">
        <v>31</v>
      </c>
      <c r="S133" s="56" t="s">
        <v>50</v>
      </c>
      <c r="T133" s="57" t="s">
        <v>29</v>
      </c>
      <c r="U133" s="58"/>
      <c r="V133" s="57" t="s">
        <v>29</v>
      </c>
      <c r="W133" s="58">
        <v>2780</v>
      </c>
      <c r="X133" s="58">
        <v>3</v>
      </c>
      <c r="Y133" s="58">
        <v>60</v>
      </c>
      <c r="Z133" s="59" t="s">
        <v>31</v>
      </c>
      <c r="AA133" s="58">
        <v>0</v>
      </c>
      <c r="AB133" s="58">
        <v>0</v>
      </c>
      <c r="AC133" s="58">
        <v>2</v>
      </c>
      <c r="AD133" s="59" t="s">
        <v>30</v>
      </c>
      <c r="AE133" s="58">
        <v>10</v>
      </c>
      <c r="AF133" s="58">
        <v>30</v>
      </c>
      <c r="AG133" s="59" t="s">
        <v>31</v>
      </c>
      <c r="AH133" s="58">
        <v>2</v>
      </c>
      <c r="AI133" s="58">
        <v>50</v>
      </c>
      <c r="AJ133" s="59" t="s">
        <v>31</v>
      </c>
      <c r="AK133" s="56" t="s">
        <v>29</v>
      </c>
      <c r="AL133" s="60">
        <v>1</v>
      </c>
      <c r="AM133" s="60">
        <v>0.5</v>
      </c>
      <c r="AN133" s="57" t="s">
        <v>29</v>
      </c>
      <c r="AO133" s="57" t="s">
        <v>28</v>
      </c>
      <c r="AP133" s="57" t="s">
        <v>28</v>
      </c>
      <c r="AQ133" s="56" t="s">
        <v>28</v>
      </c>
      <c r="AR133" s="56" t="s">
        <v>28</v>
      </c>
      <c r="AS133" s="56" t="s">
        <v>29</v>
      </c>
      <c r="AT133" s="56" t="s">
        <v>29</v>
      </c>
      <c r="AU133" s="56" t="s">
        <v>28</v>
      </c>
      <c r="AV133" s="56" t="s">
        <v>28</v>
      </c>
      <c r="AW133" s="56" t="s">
        <v>28</v>
      </c>
      <c r="AX133" s="56" t="s">
        <v>172</v>
      </c>
      <c r="AY133" s="56" t="s">
        <v>28</v>
      </c>
      <c r="AZ133" s="58">
        <v>45</v>
      </c>
      <c r="BA133" s="59" t="s">
        <v>31</v>
      </c>
      <c r="BB133" s="81">
        <v>1800</v>
      </c>
      <c r="BC133" s="59" t="s">
        <v>31</v>
      </c>
      <c r="BD133" s="38">
        <f t="shared" si="20"/>
        <v>12857.142857142859</v>
      </c>
      <c r="BE133" s="46">
        <v>0.2</v>
      </c>
      <c r="BF133" s="59" t="s">
        <v>30</v>
      </c>
      <c r="BG133" s="57" t="s">
        <v>29</v>
      </c>
      <c r="BH133" s="45">
        <f>P133/100*47*17.99</f>
        <v>2536.5899999999997</v>
      </c>
      <c r="BI133" s="45">
        <f>P133/100*47*35.98</f>
        <v>5073.1799999999994</v>
      </c>
      <c r="BJ133" s="45">
        <v>5606.125</v>
      </c>
      <c r="BK133" s="86">
        <f t="shared" si="23"/>
        <v>13215.894999999999</v>
      </c>
      <c r="BL133" s="46">
        <f t="shared" si="22"/>
        <v>0.10665000000000001</v>
      </c>
      <c r="BM133" s="90">
        <f t="shared" si="24"/>
        <v>0.30665000000000003</v>
      </c>
      <c r="BN133" s="61" t="s">
        <v>106</v>
      </c>
      <c r="BO133" s="61" t="s">
        <v>106</v>
      </c>
    </row>
    <row r="134" spans="1:67" s="54" customFormat="1" ht="90">
      <c r="A134" s="55" t="s">
        <v>187</v>
      </c>
      <c r="B134" s="56" t="s">
        <v>27</v>
      </c>
      <c r="C134" s="36" t="s">
        <v>370</v>
      </c>
      <c r="D134" s="37" t="s">
        <v>375</v>
      </c>
      <c r="E134" s="57" t="s">
        <v>29</v>
      </c>
      <c r="F134" s="57" t="s">
        <v>28</v>
      </c>
      <c r="G134" s="57" t="s">
        <v>28</v>
      </c>
      <c r="H134" s="57" t="s">
        <v>28</v>
      </c>
      <c r="I134" s="57" t="s">
        <v>28</v>
      </c>
      <c r="J134" s="57" t="s">
        <v>28</v>
      </c>
      <c r="K134" s="58">
        <v>1430</v>
      </c>
      <c r="L134" s="58">
        <v>12380</v>
      </c>
      <c r="M134" s="57" t="s">
        <v>30</v>
      </c>
      <c r="N134" s="58">
        <v>10000</v>
      </c>
      <c r="O134" s="59" t="s">
        <v>31</v>
      </c>
      <c r="P134" s="58">
        <f>L134/100*72</f>
        <v>8913.6</v>
      </c>
      <c r="Q134" s="58">
        <v>2250</v>
      </c>
      <c r="R134" s="57" t="s">
        <v>31</v>
      </c>
      <c r="S134" s="56" t="s">
        <v>188</v>
      </c>
      <c r="T134" s="57" t="s">
        <v>28</v>
      </c>
      <c r="U134" s="58">
        <v>18636</v>
      </c>
      <c r="V134" s="57" t="s">
        <v>29</v>
      </c>
      <c r="W134" s="58">
        <v>625</v>
      </c>
      <c r="X134" s="58">
        <v>24</v>
      </c>
      <c r="Y134" s="58">
        <v>612</v>
      </c>
      <c r="Z134" s="59" t="s">
        <v>30</v>
      </c>
      <c r="AA134" s="58">
        <v>4</v>
      </c>
      <c r="AB134" s="58">
        <v>598</v>
      </c>
      <c r="AC134" s="58">
        <v>8</v>
      </c>
      <c r="AD134" s="59" t="s">
        <v>30</v>
      </c>
      <c r="AE134" s="58">
        <v>135</v>
      </c>
      <c r="AF134" s="58">
        <v>600</v>
      </c>
      <c r="AG134" s="59" t="s">
        <v>31</v>
      </c>
      <c r="AH134" s="58">
        <v>7</v>
      </c>
      <c r="AI134" s="58">
        <v>635</v>
      </c>
      <c r="AJ134" s="59" t="s">
        <v>30</v>
      </c>
      <c r="AK134" s="56" t="s">
        <v>28</v>
      </c>
      <c r="AL134" s="60"/>
      <c r="AM134" s="60"/>
      <c r="AN134" s="57" t="s">
        <v>29</v>
      </c>
      <c r="AO134" s="57" t="s">
        <v>29</v>
      </c>
      <c r="AP134" s="57" t="s">
        <v>28</v>
      </c>
      <c r="AQ134" s="56" t="s">
        <v>29</v>
      </c>
      <c r="AR134" s="56" t="s">
        <v>29</v>
      </c>
      <c r="AS134" s="56" t="s">
        <v>29</v>
      </c>
      <c r="AT134" s="56" t="s">
        <v>29</v>
      </c>
      <c r="AU134" s="56" t="s">
        <v>28</v>
      </c>
      <c r="AV134" s="56" t="s">
        <v>28</v>
      </c>
      <c r="AW134" s="56" t="s">
        <v>29</v>
      </c>
      <c r="AX134" s="56" t="s">
        <v>28</v>
      </c>
      <c r="AY134" s="56" t="s">
        <v>189</v>
      </c>
      <c r="AZ134" s="58">
        <v>30</v>
      </c>
      <c r="BA134" s="59" t="s">
        <v>31</v>
      </c>
      <c r="BB134" s="81">
        <v>3150</v>
      </c>
      <c r="BC134" s="59" t="s">
        <v>31</v>
      </c>
      <c r="BD134" s="38">
        <f t="shared" si="20"/>
        <v>22500</v>
      </c>
      <c r="BE134" s="46">
        <v>2.8</v>
      </c>
      <c r="BF134" s="59" t="s">
        <v>30</v>
      </c>
      <c r="BG134" s="57" t="s">
        <v>28</v>
      </c>
      <c r="BH134" s="45">
        <f>P134/100*44*17.99</f>
        <v>70556.492159999994</v>
      </c>
      <c r="BI134" s="45">
        <f>P134/100*44*35.98</f>
        <v>141112.98431999999</v>
      </c>
      <c r="BJ134" s="45">
        <v>40070.756249999999</v>
      </c>
      <c r="BK134" s="86">
        <f t="shared" si="23"/>
        <v>251740.23272999999</v>
      </c>
      <c r="BL134" s="46">
        <f t="shared" si="22"/>
        <v>1.4930999999999999</v>
      </c>
      <c r="BM134" s="90">
        <f t="shared" si="24"/>
        <v>4.2930999999999999</v>
      </c>
      <c r="BN134" s="61" t="s">
        <v>190</v>
      </c>
      <c r="BO134" s="61" t="s">
        <v>191</v>
      </c>
    </row>
    <row r="135" spans="1:67" s="54" customFormat="1" ht="30">
      <c r="A135" s="55" t="s">
        <v>327</v>
      </c>
      <c r="B135" s="56" t="s">
        <v>27</v>
      </c>
      <c r="C135" s="62" t="s">
        <v>374</v>
      </c>
      <c r="D135" s="37" t="s">
        <v>377</v>
      </c>
      <c r="E135" s="57" t="s">
        <v>28</v>
      </c>
      <c r="F135" s="57" t="s">
        <v>29</v>
      </c>
      <c r="G135" s="57" t="s">
        <v>28</v>
      </c>
      <c r="H135" s="57" t="s">
        <v>28</v>
      </c>
      <c r="I135" s="57" t="s">
        <v>28</v>
      </c>
      <c r="J135" s="57" t="s">
        <v>28</v>
      </c>
      <c r="K135" s="58">
        <v>1050</v>
      </c>
      <c r="L135" s="58">
        <v>400</v>
      </c>
      <c r="M135" s="57" t="s">
        <v>31</v>
      </c>
      <c r="N135" s="58">
        <v>300</v>
      </c>
      <c r="O135" s="59" t="s">
        <v>31</v>
      </c>
      <c r="P135" s="58">
        <f>L135/100*75</f>
        <v>300</v>
      </c>
      <c r="Q135" s="58">
        <v>100</v>
      </c>
      <c r="R135" s="57" t="s">
        <v>31</v>
      </c>
      <c r="S135" s="56" t="s">
        <v>28</v>
      </c>
      <c r="T135" s="57" t="s">
        <v>29</v>
      </c>
      <c r="U135" s="58">
        <v>4400</v>
      </c>
      <c r="V135" s="57" t="s">
        <v>29</v>
      </c>
      <c r="W135" s="58">
        <v>480</v>
      </c>
      <c r="X135" s="58">
        <v>2</v>
      </c>
      <c r="Y135" s="58">
        <v>50</v>
      </c>
      <c r="Z135" s="59" t="s">
        <v>31</v>
      </c>
      <c r="AA135" s="58">
        <v>2</v>
      </c>
      <c r="AB135" s="58">
        <v>50</v>
      </c>
      <c r="AC135" s="58">
        <v>4</v>
      </c>
      <c r="AD135" s="59" t="s">
        <v>30</v>
      </c>
      <c r="AE135" s="58">
        <v>6</v>
      </c>
      <c r="AF135" s="58">
        <v>120</v>
      </c>
      <c r="AG135" s="59" t="s">
        <v>31</v>
      </c>
      <c r="AH135" s="58">
        <v>1</v>
      </c>
      <c r="AI135" s="58">
        <v>75</v>
      </c>
      <c r="AJ135" s="59" t="s">
        <v>30</v>
      </c>
      <c r="AK135" s="56" t="s">
        <v>28</v>
      </c>
      <c r="AL135" s="60"/>
      <c r="AM135" s="60"/>
      <c r="AN135" s="57" t="s">
        <v>29</v>
      </c>
      <c r="AO135" s="57" t="s">
        <v>28</v>
      </c>
      <c r="AP135" s="57" t="s">
        <v>28</v>
      </c>
      <c r="AQ135" s="56" t="s">
        <v>28</v>
      </c>
      <c r="AR135" s="56" t="s">
        <v>28</v>
      </c>
      <c r="AS135" s="56" t="s">
        <v>28</v>
      </c>
      <c r="AT135" s="56" t="s">
        <v>29</v>
      </c>
      <c r="AU135" s="56" t="s">
        <v>29</v>
      </c>
      <c r="AV135" s="56" t="s">
        <v>28</v>
      </c>
      <c r="AW135" s="56" t="s">
        <v>28</v>
      </c>
      <c r="AX135" s="56" t="s">
        <v>28</v>
      </c>
      <c r="AY135" s="56" t="s">
        <v>28</v>
      </c>
      <c r="AZ135" s="58">
        <v>16</v>
      </c>
      <c r="BA135" s="59" t="s">
        <v>30</v>
      </c>
      <c r="BB135" s="81">
        <v>525</v>
      </c>
      <c r="BC135" s="59" t="s">
        <v>30</v>
      </c>
      <c r="BD135" s="38">
        <f t="shared" si="20"/>
        <v>3750</v>
      </c>
      <c r="BE135" s="46">
        <v>0</v>
      </c>
      <c r="BF135" s="59" t="s">
        <v>30</v>
      </c>
      <c r="BG135" s="57" t="s">
        <v>28</v>
      </c>
      <c r="BH135" s="45">
        <f>P135/100*47*8.9</f>
        <v>1254.9000000000001</v>
      </c>
      <c r="BI135" s="45">
        <f>P135/100*47*17.79</f>
        <v>2508.39</v>
      </c>
      <c r="BJ135" s="45">
        <v>5808.2062499999993</v>
      </c>
      <c r="BK135" s="86">
        <f t="shared" si="23"/>
        <v>9571.4962500000001</v>
      </c>
      <c r="BL135" s="46">
        <f t="shared" si="22"/>
        <v>0</v>
      </c>
      <c r="BM135" s="90">
        <f t="shared" si="24"/>
        <v>0</v>
      </c>
      <c r="BN135" s="61" t="s">
        <v>32</v>
      </c>
      <c r="BO135" s="61" t="s">
        <v>328</v>
      </c>
    </row>
    <row r="136" spans="1:67" s="54" customFormat="1" ht="30">
      <c r="A136" s="55" t="s">
        <v>81</v>
      </c>
      <c r="B136" s="56" t="s">
        <v>27</v>
      </c>
      <c r="C136" s="62" t="s">
        <v>371</v>
      </c>
      <c r="D136" s="39" t="s">
        <v>377</v>
      </c>
      <c r="E136" s="57" t="s">
        <v>28</v>
      </c>
      <c r="F136" s="57" t="s">
        <v>29</v>
      </c>
      <c r="G136" s="57" t="s">
        <v>28</v>
      </c>
      <c r="H136" s="57" t="s">
        <v>28</v>
      </c>
      <c r="I136" s="57" t="s">
        <v>28</v>
      </c>
      <c r="J136" s="57" t="s">
        <v>28</v>
      </c>
      <c r="K136" s="58">
        <v>840</v>
      </c>
      <c r="L136" s="58">
        <v>1338</v>
      </c>
      <c r="M136" s="57" t="s">
        <v>30</v>
      </c>
      <c r="N136" s="58"/>
      <c r="O136" s="57"/>
      <c r="P136" s="58">
        <f>L136/100*75</f>
        <v>1003.5000000000001</v>
      </c>
      <c r="Q136" s="58"/>
      <c r="R136" s="57"/>
      <c r="S136" s="56" t="s">
        <v>28</v>
      </c>
      <c r="T136" s="57" t="s">
        <v>29</v>
      </c>
      <c r="U136" s="58"/>
      <c r="V136" s="57" t="s">
        <v>28</v>
      </c>
      <c r="W136" s="58"/>
      <c r="X136" s="58">
        <v>0</v>
      </c>
      <c r="Y136" s="58">
        <v>0</v>
      </c>
      <c r="Z136" s="59" t="s">
        <v>30</v>
      </c>
      <c r="AA136" s="58">
        <v>0</v>
      </c>
      <c r="AB136" s="58">
        <v>0</v>
      </c>
      <c r="AC136" s="58">
        <v>0</v>
      </c>
      <c r="AD136" s="59" t="s">
        <v>30</v>
      </c>
      <c r="AE136" s="58">
        <v>5</v>
      </c>
      <c r="AF136" s="58">
        <v>15</v>
      </c>
      <c r="AG136" s="59" t="s">
        <v>31</v>
      </c>
      <c r="AH136" s="58">
        <v>20</v>
      </c>
      <c r="AI136" s="58">
        <v>500</v>
      </c>
      <c r="AJ136" s="59" t="s">
        <v>31</v>
      </c>
      <c r="AK136" s="56" t="s">
        <v>29</v>
      </c>
      <c r="AL136" s="60">
        <v>1</v>
      </c>
      <c r="AM136" s="60">
        <v>0.3</v>
      </c>
      <c r="AN136" s="57" t="s">
        <v>29</v>
      </c>
      <c r="AO136" s="57" t="s">
        <v>28</v>
      </c>
      <c r="AP136" s="57" t="s">
        <v>28</v>
      </c>
      <c r="AQ136" s="56" t="s">
        <v>28</v>
      </c>
      <c r="AR136" s="56" t="s">
        <v>28</v>
      </c>
      <c r="AS136" s="56" t="s">
        <v>28</v>
      </c>
      <c r="AT136" s="56" t="s">
        <v>29</v>
      </c>
      <c r="AU136" s="56" t="s">
        <v>29</v>
      </c>
      <c r="AV136" s="56" t="s">
        <v>28</v>
      </c>
      <c r="AW136" s="56" t="s">
        <v>28</v>
      </c>
      <c r="AX136" s="56" t="s">
        <v>28</v>
      </c>
      <c r="AY136" s="56" t="s">
        <v>28</v>
      </c>
      <c r="AZ136" s="58">
        <v>30</v>
      </c>
      <c r="BA136" s="59" t="s">
        <v>31</v>
      </c>
      <c r="BB136" s="81">
        <v>3000</v>
      </c>
      <c r="BC136" s="59" t="s">
        <v>31</v>
      </c>
      <c r="BD136" s="38">
        <f t="shared" si="20"/>
        <v>21428.571428571428</v>
      </c>
      <c r="BE136" s="46">
        <v>0</v>
      </c>
      <c r="BF136" s="59" t="s">
        <v>30</v>
      </c>
      <c r="BG136" s="57" t="s">
        <v>28</v>
      </c>
      <c r="BH136" s="45">
        <f>P136/100*47*12.86</f>
        <v>6065.3547000000008</v>
      </c>
      <c r="BI136" s="45">
        <f>P136/100*47*23.73</f>
        <v>11192.135850000002</v>
      </c>
      <c r="BJ136" s="45">
        <v>6874.6737499999999</v>
      </c>
      <c r="BK136" s="86">
        <f t="shared" si="23"/>
        <v>24132.164300000004</v>
      </c>
      <c r="BL136" s="46">
        <f t="shared" si="22"/>
        <v>0</v>
      </c>
      <c r="BM136" s="90">
        <f t="shared" si="24"/>
        <v>0</v>
      </c>
      <c r="BN136" s="61" t="s">
        <v>82</v>
      </c>
      <c r="BO136" s="61" t="s">
        <v>32</v>
      </c>
    </row>
    <row r="137" spans="1:67" customFormat="1">
      <c r="S137" s="65"/>
      <c r="AQ137" s="65"/>
      <c r="AR137" s="65"/>
      <c r="AS137" s="65"/>
      <c r="AT137" s="65"/>
      <c r="AU137" s="65"/>
      <c r="AV137" s="65"/>
      <c r="AW137" s="65"/>
      <c r="AX137" s="65"/>
      <c r="AY137" s="65"/>
      <c r="BB137" s="65"/>
      <c r="BE137" s="32"/>
      <c r="BH137" s="42"/>
      <c r="BI137" s="42"/>
      <c r="BJ137" s="42"/>
      <c r="BK137" s="87"/>
      <c r="BL137" s="32"/>
      <c r="BM137" s="92"/>
    </row>
    <row r="138" spans="1:67" customFormat="1">
      <c r="A138" s="2"/>
      <c r="B138" s="7"/>
      <c r="C138" s="1"/>
      <c r="D138" s="23"/>
      <c r="E138" s="1"/>
      <c r="F138" s="1"/>
      <c r="G138" s="1"/>
      <c r="H138" s="1"/>
      <c r="I138" s="1"/>
      <c r="J138" s="1"/>
      <c r="K138" s="6"/>
      <c r="L138" s="6"/>
      <c r="M138" s="1"/>
      <c r="N138" s="6"/>
      <c r="O138" s="1"/>
      <c r="P138" s="6"/>
      <c r="Q138" s="6"/>
      <c r="R138" s="1"/>
      <c r="S138" s="7"/>
      <c r="T138" s="7"/>
      <c r="V138" s="10"/>
      <c r="X138" s="10"/>
      <c r="Y138" s="10"/>
      <c r="Z138" s="6"/>
      <c r="AA138" s="10"/>
      <c r="AB138" s="10"/>
      <c r="AC138" s="10"/>
      <c r="AD138" s="6"/>
      <c r="AE138" s="10"/>
      <c r="AF138" s="10"/>
      <c r="AG138" s="6"/>
      <c r="AH138" s="10"/>
      <c r="AI138" s="10"/>
      <c r="AJ138" s="1"/>
      <c r="AK138" s="3"/>
      <c r="AL138" s="7"/>
      <c r="AM138" s="1"/>
      <c r="AN138" s="1"/>
      <c r="AO138" s="4"/>
      <c r="AP138" s="4"/>
      <c r="AQ138" s="66"/>
      <c r="AR138" s="7"/>
      <c r="AS138" s="7"/>
      <c r="AT138" s="7"/>
      <c r="AU138" s="7"/>
      <c r="AV138" s="7"/>
      <c r="AW138" s="7"/>
      <c r="AX138" s="7"/>
      <c r="AY138" s="7"/>
      <c r="AZ138" s="7"/>
      <c r="BA138" s="6"/>
      <c r="BB138" s="83"/>
      <c r="BC138" s="6"/>
      <c r="BD138" s="3"/>
      <c r="BE138" s="41"/>
      <c r="BF138" s="6"/>
      <c r="BG138" s="3"/>
      <c r="BH138" s="42"/>
      <c r="BI138" s="42"/>
      <c r="BJ138" s="42"/>
      <c r="BK138" s="87"/>
      <c r="BL138" s="41"/>
      <c r="BM138" s="93"/>
      <c r="BN138" s="1"/>
      <c r="BO138" s="1"/>
    </row>
  </sheetData>
  <mergeCells count="1">
    <mergeCell ref="AQ1:AY1"/>
  </mergeCells>
  <pageMargins left="0.7" right="0.7" top="0.75" bottom="0.75" header="0.3" footer="0.3"/>
  <pageSetup paperSize="9" orientation="portrait" horizontalDpi="4294967293"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Enhanced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 Whitehouse</dc:creator>
  <cp:lastModifiedBy>Everitt, Jamie</cp:lastModifiedBy>
  <cp:lastPrinted>2019-06-04T13:35:52Z</cp:lastPrinted>
  <dcterms:created xsi:type="dcterms:W3CDTF">2018-09-21T09:09:47Z</dcterms:created>
  <dcterms:modified xsi:type="dcterms:W3CDTF">2019-06-17T10:36:38Z</dcterms:modified>
</cp:coreProperties>
</file>